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embeddings/oleObject2.bin" ContentType="application/vnd.openxmlformats-officedocument.oleObject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 codeName="현재_통합_문서"/>
  <mc:AlternateContent xmlns:mc="http://schemas.openxmlformats.org/markup-compatibility/2006">
    <mc:Choice Requires="x15">
      <x15ac:absPath xmlns:x15ac="http://schemas.microsoft.com/office/spreadsheetml/2010/11/ac" url="C:\Users\국환\Downloads\"/>
    </mc:Choice>
  </mc:AlternateContent>
  <xr:revisionPtr revIDLastSave="0" documentId="13_ncr:1_{B129F9E6-8A59-48B2-884E-8016A3D4DE57}" xr6:coauthVersionLast="47" xr6:coauthVersionMax="47" xr10:uidLastSave="{00000000-0000-0000-0000-000000000000}"/>
  <workbookProtection workbookAlgorithmName="SHA-512" workbookHashValue="VEN/bZ707mkF1pk0v7chCvR6foInXhJ6zyYMtF/RFemKj5WWEbIRFdVjyl9eSLSpY830yXMjHZTWxHz0aiiFVg==" workbookSaltValue="bZ+MpoKcRz5iHGCWlE8bGg==" workbookSpinCount="100000" lockStructure="1"/>
  <bookViews>
    <workbookView xWindow="-120" yWindow="-120" windowWidth="29040" windowHeight="15525" tabRatio="827" firstSheet="2" activeTab="2" xr2:uid="{00000000-000D-0000-FFFF-FFFF00000000}"/>
  </bookViews>
  <sheets>
    <sheet name="KDS2022(20m 이상-Wall)" sheetId="134" state="hidden" r:id="rId1"/>
    <sheet name="KDS2022(20m 미만-Wall)" sheetId="135" state="hidden" r:id="rId2"/>
    <sheet name="풍하중" sheetId="104" r:id="rId3"/>
    <sheet name="단순" sheetId="108" r:id="rId4"/>
    <sheet name="단순 (보강)" sheetId="109" r:id="rId5"/>
    <sheet name="Kicker" sheetId="105" r:id="rId6"/>
    <sheet name="Kicker (보강)" sheetId="107" r:id="rId7"/>
    <sheet name="연속보-ej" sheetId="87" r:id="rId8"/>
    <sheet name="연속보-ej (보강)" sheetId="103" r:id="rId9"/>
    <sheet name="T" sheetId="122" r:id="rId10"/>
    <sheet name="단순 (ST'L - BOX)" sheetId="110" r:id="rId11"/>
    <sheet name="Kicker (ST'L - BOX)" sheetId="112" r:id="rId12"/>
    <sheet name="T(ST'L - BOX)" sheetId="119" r:id="rId13"/>
    <sheet name="단순 (ST'L - T-BAR)" sheetId="111" r:id="rId14"/>
    <sheet name="Kicker (ST'L - T-BAR)" sheetId="115" r:id="rId15"/>
    <sheet name="지진하중" sheetId="123" r:id="rId16"/>
    <sheet name="단순 (E)" sheetId="124" r:id="rId17"/>
    <sheet name="단순 (E-보강)" sheetId="125" r:id="rId18"/>
    <sheet name="연속보(E)-ej" sheetId="126" r:id="rId19"/>
    <sheet name="연속보(E)-ej (보강)" sheetId="127" r:id="rId20"/>
    <sheet name="단순(E) (ST'L - BOX)" sheetId="128" r:id="rId21"/>
    <sheet name="단순(E) (ST'L - T-BAR)" sheetId="131" r:id="rId22"/>
  </sheets>
  <externalReferences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</externalReferences>
  <definedNames>
    <definedName name="_FIGURE" localSheetId="1" xml:space="preserve"> INDEX(#REF!,#REF!)</definedName>
    <definedName name="_FIGURE" localSheetId="9">INDEX(T!$V$280:$Y$280, T!$P$98)</definedName>
    <definedName name="_FIGURE" localSheetId="15" xml:space="preserve"> INDEX(#REF!,#REF!)</definedName>
    <definedName name="_FIGURE" xml:space="preserve"> INDEX(#REF!,#REF!)</definedName>
    <definedName name="A" localSheetId="1">[1]Sheet1!#REF!</definedName>
    <definedName name="A" localSheetId="0">[1]Sheet1!#REF!</definedName>
    <definedName name="A" localSheetId="15">[1]Sheet1!#REF!</definedName>
    <definedName name="A">[1]Sheet1!#REF!</definedName>
    <definedName name="Ba" localSheetId="1">#REF!</definedName>
    <definedName name="Ba" localSheetId="15">#REF!</definedName>
    <definedName name="Ba">#REF!</definedName>
    <definedName name="D" xml:space="preserve"> INDEX(#REF!,#REF!)</definedName>
    <definedName name="da" localSheetId="1">INDEX([2]A1!$AB$62:$AG$74,1,[2]A1!$N$66)</definedName>
    <definedName name="da" localSheetId="15">INDEX([3]A1!$AB$62:$AG$74,1,[3]A1!$N$66)</definedName>
    <definedName name="da">INDEX([2]A1!$AB$62:$AG$74,1,[2]A1!$N$66)</definedName>
    <definedName name="daddf">INDEX([4]A1!$AB$62:$AG$74,1,[4]A1!$N$66)</definedName>
    <definedName name="df">INDEX([5]A1!$AB$62:$AG$74,1,[5]A1!$N$66)</definedName>
    <definedName name="f" xml:space="preserve"> INDEX(#REF!,#REF!)</definedName>
    <definedName name="fan" localSheetId="1">#REF!</definedName>
    <definedName name="fan" localSheetId="15">#REF!</definedName>
    <definedName name="fan">#REF!</definedName>
    <definedName name="fgju" xml:space="preserve"> INDEX(#REF!,#REF!)</definedName>
    <definedName name="frn" localSheetId="1">#REF!</definedName>
    <definedName name="frn" localSheetId="15">#REF!</definedName>
    <definedName name="frn">#REF!</definedName>
    <definedName name="Fto" localSheetId="15">#REF!</definedName>
    <definedName name="Fto">#REF!</definedName>
    <definedName name="Fts" localSheetId="15">#REF!</definedName>
    <definedName name="Fts">#REF!</definedName>
    <definedName name="Ftso" localSheetId="15">#REF!</definedName>
    <definedName name="Ftso">#REF!</definedName>
    <definedName name="Fvo" localSheetId="15">#REF!</definedName>
    <definedName name="Fvo">#REF!</definedName>
    <definedName name="LK" xml:space="preserve"> INDEX(#REF!,#REF!)</definedName>
    <definedName name="Na" localSheetId="15">#REF!</definedName>
    <definedName name="Na">#REF!</definedName>
    <definedName name="Nrd" localSheetId="15">#REF!</definedName>
    <definedName name="Nrd">#REF!</definedName>
    <definedName name="_xlnm.Print_Area" localSheetId="1">'KDS2022(20m 미만-Wall)'!$A$1:$M$59</definedName>
    <definedName name="_xlnm.Print_Area" localSheetId="0">'KDS2022(20m 이상-Wall)'!$A$1:$M$66</definedName>
    <definedName name="_xlnm.Print_Area" localSheetId="5">Kicker!$A$1:$L$46</definedName>
    <definedName name="_xlnm.Print_Area" localSheetId="11">'Kicker (ST''L - BOX)'!$A$1:$L$46</definedName>
    <definedName name="_xlnm.Print_Area" localSheetId="14">'Kicker (ST''L - T-BAR)'!$A$1:$L$46</definedName>
    <definedName name="_xlnm.Print_Area" localSheetId="6">'Kicker (보강)'!$A$1:$L$46</definedName>
    <definedName name="_xlnm.Print_Area" localSheetId="9">T!$A$1:$K$46</definedName>
    <definedName name="_xlnm.Print_Area" localSheetId="12">'T(ST''L - BOX)'!$A$1:$K$46</definedName>
    <definedName name="_xlnm.Print_Area" localSheetId="3">단순!$A$1:$L$46</definedName>
    <definedName name="_xlnm.Print_Area" localSheetId="16">'단순 (E)'!$A$1:$L$46</definedName>
    <definedName name="_xlnm.Print_Area" localSheetId="17">'단순 (E-보강)'!$A$1:$L$46</definedName>
    <definedName name="_xlnm.Print_Area" localSheetId="10">'단순 (ST''L - BOX)'!$A$1:$L$46</definedName>
    <definedName name="_xlnm.Print_Area" localSheetId="13">'단순 (ST''L - T-BAR)'!$A$1:$L$46</definedName>
    <definedName name="_xlnm.Print_Area" localSheetId="4">'단순 (보강)'!$A$1:$L$46</definedName>
    <definedName name="_xlnm.Print_Area" localSheetId="20">'단순(E) (ST''L - BOX)'!$A$1:$L$46</definedName>
    <definedName name="_xlnm.Print_Area" localSheetId="21">'단순(E) (ST''L - T-BAR)'!$A$1:$L$46</definedName>
    <definedName name="_xlnm.Print_Area" localSheetId="18">'연속보(E)-ej'!$A$1:$L$46</definedName>
    <definedName name="_xlnm.Print_Area" localSheetId="19">'연속보(E)-ej (보강)'!$A$1:$L$46</definedName>
    <definedName name="_xlnm.Print_Area" localSheetId="7">'연속보-ej'!$A$1:$L$46</definedName>
    <definedName name="_xlnm.Print_Area" localSheetId="8">'연속보-ej (보강)'!$A$1:$L$46</definedName>
    <definedName name="_xlnm.Print_Area" localSheetId="15">지진하중!$A$1:$M$45</definedName>
    <definedName name="_xlnm.Print_Area" localSheetId="2">풍하중!$A$1:$M$35</definedName>
    <definedName name="Rule1" localSheetId="15">INDEX([6]A1!$AB$62:$AG$74,1,[6]A1!$N$66)</definedName>
    <definedName name="Rule1">INDEX([7]A1!$AB$62:$AG$74,1,[7]A1!$N$66)</definedName>
    <definedName name="T" localSheetId="1">#REF!</definedName>
    <definedName name="T" localSheetId="15">#REF!</definedName>
    <definedName name="T">#REF!</definedName>
    <definedName name="To" localSheetId="1">#REF!</definedName>
    <definedName name="To" localSheetId="15">#REF!</definedName>
    <definedName name="To">#REF!</definedName>
    <definedName name="V" localSheetId="1">#REF!</definedName>
    <definedName name="V" localSheetId="15">#REF!</definedName>
    <definedName name="V">#REF!</definedName>
    <definedName name="Va" localSheetId="15">#REF!</definedName>
    <definedName name="Va">#REF!</definedName>
    <definedName name="Vo" localSheetId="15">#REF!</definedName>
    <definedName name="Vo">#REF!</definedName>
    <definedName name="Vrd" localSheetId="15">#REF!</definedName>
    <definedName name="Vrd">#REF!</definedName>
    <definedName name="Vx" localSheetId="15">#REF!</definedName>
    <definedName name="Vx">#REF!</definedName>
    <definedName name="Vy" localSheetId="15">#REF!</definedName>
    <definedName name="Vy">#REF!</definedName>
    <definedName name="W" localSheetId="15">#REF!</definedName>
    <definedName name="W">#REF!</definedName>
    <definedName name="가져오기">INDEX(#REF!,MATCH(#REF!,#REF!,0))</definedName>
    <definedName name="그림">#REF!</definedName>
    <definedName name="ㄴㅇㅁㄹ" xml:space="preserve"> INDEX(#REF!,#REF!)</definedName>
    <definedName name="ㅁㄱ" xml:space="preserve"> INDEX(#REF!,#REF!)</definedName>
    <definedName name="ㅇㅇㅇ" xml:space="preserve"> INDEX(#REF!,#REF!)</definedName>
    <definedName name="ㅇㅇㅇㅇ" xml:space="preserve"> INDEX(#REF!,#REF!)</definedName>
    <definedName name="이름">#REF!</definedName>
  </definedNames>
  <calcPr calcId="191029"/>
</workbook>
</file>

<file path=xl/calcChain.xml><?xml version="1.0" encoding="utf-8"?>
<calcChain xmlns="http://schemas.openxmlformats.org/spreadsheetml/2006/main">
  <c r="F12" i="135" l="1"/>
  <c r="F10" i="135"/>
  <c r="D71" i="128"/>
  <c r="D71" i="131"/>
  <c r="D74" i="127"/>
  <c r="D74" i="126"/>
  <c r="D71" i="124"/>
  <c r="D84" i="124" s="1"/>
  <c r="N18" i="119"/>
  <c r="AQ51" i="123"/>
  <c r="AQ50" i="123"/>
  <c r="AQ49" i="123"/>
  <c r="AQ48" i="123"/>
  <c r="AQ47" i="123"/>
  <c r="AQ46" i="123"/>
  <c r="AQ45" i="123"/>
  <c r="AQ44" i="123"/>
  <c r="AQ43" i="123"/>
  <c r="AQ42" i="123"/>
  <c r="AQ41" i="123"/>
  <c r="AQ40" i="123"/>
  <c r="AQ39" i="123"/>
  <c r="AQ38" i="123"/>
  <c r="AQ37" i="123"/>
  <c r="AQ36" i="123"/>
  <c r="AQ35" i="123"/>
  <c r="AQ34" i="123"/>
  <c r="AQ33" i="123"/>
  <c r="AQ32" i="123"/>
  <c r="AQ31" i="123"/>
  <c r="AQ30" i="123"/>
  <c r="AQ29" i="123"/>
  <c r="AQ28" i="123"/>
  <c r="AQ27" i="123"/>
  <c r="AQ26" i="123"/>
  <c r="AQ25" i="123"/>
  <c r="AQ24" i="123"/>
  <c r="AQ23" i="123"/>
  <c r="AQ22" i="123"/>
  <c r="AQ21" i="123"/>
  <c r="AQ20" i="123"/>
  <c r="AQ19" i="123"/>
  <c r="AQ18" i="123"/>
  <c r="AQ17" i="123"/>
  <c r="AQ16" i="123"/>
  <c r="AQ15" i="123"/>
  <c r="AQ14" i="123"/>
  <c r="AQ13" i="123"/>
  <c r="AQ12" i="123"/>
  <c r="AQ11" i="123"/>
  <c r="AQ10" i="123"/>
  <c r="AQ9" i="123"/>
  <c r="AQ8" i="123"/>
  <c r="AQ7" i="123"/>
  <c r="AQ6" i="123"/>
  <c r="AQ5" i="123"/>
  <c r="AQ4" i="123"/>
  <c r="AQ3" i="123"/>
  <c r="D87" i="124" l="1"/>
  <c r="AM3" i="123"/>
  <c r="AR3" i="123" s="1"/>
  <c r="AM4" i="123"/>
  <c r="AR4" i="123" s="1"/>
  <c r="AM5" i="123"/>
  <c r="AR5" i="123" s="1"/>
  <c r="AM6" i="123"/>
  <c r="AR6" i="123" s="1"/>
  <c r="AM7" i="123"/>
  <c r="AR7" i="123" s="1"/>
  <c r="AM8" i="123"/>
  <c r="AR8" i="123" s="1"/>
  <c r="AM9" i="123"/>
  <c r="AR9" i="123" s="1"/>
  <c r="AM10" i="123"/>
  <c r="AR10" i="123" s="1"/>
  <c r="AM11" i="123"/>
  <c r="AR11" i="123" s="1"/>
  <c r="AM12" i="123"/>
  <c r="AR12" i="123" s="1"/>
  <c r="AM13" i="123"/>
  <c r="AR13" i="123" s="1"/>
  <c r="AM14" i="123"/>
  <c r="AR14" i="123" s="1"/>
  <c r="AM15" i="123"/>
  <c r="AR15" i="123" s="1"/>
  <c r="AM16" i="123"/>
  <c r="AR16" i="123" s="1"/>
  <c r="AM17" i="123"/>
  <c r="AR17" i="123" s="1"/>
  <c r="AM18" i="123"/>
  <c r="AR18" i="123" s="1"/>
  <c r="AM19" i="123"/>
  <c r="AR19" i="123" s="1"/>
  <c r="AM20" i="123"/>
  <c r="AR20" i="123" s="1"/>
  <c r="AM21" i="123"/>
  <c r="AR21" i="123" s="1"/>
  <c r="AM22" i="123"/>
  <c r="AR22" i="123" s="1"/>
  <c r="AM23" i="123"/>
  <c r="AR23" i="123" s="1"/>
  <c r="AM24" i="123"/>
  <c r="AR24" i="123" s="1"/>
  <c r="AM25" i="123"/>
  <c r="AR25" i="123" s="1"/>
  <c r="AM26" i="123"/>
  <c r="AR26" i="123" s="1"/>
  <c r="AM27" i="123"/>
  <c r="AR27" i="123" s="1"/>
  <c r="AM28" i="123"/>
  <c r="AR28" i="123" s="1"/>
  <c r="AM29" i="123"/>
  <c r="AR29" i="123" s="1"/>
  <c r="AM30" i="123"/>
  <c r="AR30" i="123" s="1"/>
  <c r="AM31" i="123"/>
  <c r="AR31" i="123" s="1"/>
  <c r="AM32" i="123"/>
  <c r="AR32" i="123" s="1"/>
  <c r="AM33" i="123"/>
  <c r="AR33" i="123" s="1"/>
  <c r="AM34" i="123"/>
  <c r="AR34" i="123" s="1"/>
  <c r="AM35" i="123"/>
  <c r="AR35" i="123" s="1"/>
  <c r="AM36" i="123"/>
  <c r="AR36" i="123" s="1"/>
  <c r="AM37" i="123"/>
  <c r="AR37" i="123" s="1"/>
  <c r="AS37" i="123" s="1"/>
  <c r="AM38" i="123"/>
  <c r="AR38" i="123" s="1"/>
  <c r="AM39" i="123"/>
  <c r="AR39" i="123" s="1"/>
  <c r="AM40" i="123"/>
  <c r="AR40" i="123" s="1"/>
  <c r="AM41" i="123"/>
  <c r="AR41" i="123" s="1"/>
  <c r="AM42" i="123"/>
  <c r="AR42" i="123" s="1"/>
  <c r="AM43" i="123"/>
  <c r="AR43" i="123" s="1"/>
  <c r="AM44" i="123"/>
  <c r="AR44" i="123" s="1"/>
  <c r="AM45" i="123"/>
  <c r="AR45" i="123" s="1"/>
  <c r="AM46" i="123"/>
  <c r="AR46" i="123" s="1"/>
  <c r="AM47" i="123"/>
  <c r="AR47" i="123" s="1"/>
  <c r="AM48" i="123"/>
  <c r="AR48" i="123" s="1"/>
  <c r="AM49" i="123"/>
  <c r="AR49" i="123" s="1"/>
  <c r="AS49" i="123" s="1"/>
  <c r="AM50" i="123"/>
  <c r="AR50" i="123" s="1"/>
  <c r="AM51" i="123"/>
  <c r="AR51" i="123" s="1"/>
  <c r="P9" i="123"/>
  <c r="O10" i="123" l="1"/>
  <c r="AS39" i="123"/>
  <c r="AT39" i="123"/>
  <c r="AT38" i="123"/>
  <c r="AS38" i="123"/>
  <c r="AT14" i="123"/>
  <c r="AS14" i="123"/>
  <c r="AS51" i="123"/>
  <c r="AT51" i="123"/>
  <c r="AT26" i="123"/>
  <c r="AS26" i="123"/>
  <c r="AS11" i="123"/>
  <c r="AT11" i="123"/>
  <c r="AS17" i="123"/>
  <c r="AT17" i="123"/>
  <c r="AT16" i="123"/>
  <c r="AS16" i="123"/>
  <c r="AS10" i="123"/>
  <c r="AT10" i="123"/>
  <c r="AT9" i="123"/>
  <c r="AS9" i="123"/>
  <c r="AS18" i="123"/>
  <c r="AT18" i="123"/>
  <c r="AS32" i="123"/>
  <c r="AT32" i="123"/>
  <c r="AT43" i="123"/>
  <c r="AS43" i="123"/>
  <c r="AS30" i="123"/>
  <c r="AT30" i="123"/>
  <c r="AS8" i="123"/>
  <c r="AT8" i="123"/>
  <c r="AS34" i="123"/>
  <c r="AT34" i="123"/>
  <c r="AS46" i="123"/>
  <c r="AT46" i="123"/>
  <c r="AT31" i="123"/>
  <c r="AS31" i="123"/>
  <c r="AT42" i="123"/>
  <c r="AS42" i="123"/>
  <c r="AS23" i="123"/>
  <c r="AT23" i="123"/>
  <c r="AT7" i="123"/>
  <c r="AS7" i="123"/>
  <c r="AS47" i="123"/>
  <c r="AT47" i="123"/>
  <c r="AS29" i="123"/>
  <c r="AT29" i="123"/>
  <c r="AS6" i="123"/>
  <c r="AT6" i="123"/>
  <c r="AS45" i="123"/>
  <c r="AT45" i="123"/>
  <c r="AS41" i="123"/>
  <c r="AT41" i="123"/>
  <c r="AT28" i="123"/>
  <c r="AS28" i="123"/>
  <c r="AS22" i="123"/>
  <c r="AT22" i="123"/>
  <c r="AT33" i="123"/>
  <c r="AS33" i="123"/>
  <c r="AS25" i="123"/>
  <c r="AT25" i="123"/>
  <c r="AS50" i="123"/>
  <c r="AT50" i="123"/>
  <c r="AS36" i="123"/>
  <c r="AT36" i="123"/>
  <c r="AS27" i="123"/>
  <c r="AT27" i="123"/>
  <c r="AT21" i="123"/>
  <c r="AS21" i="123"/>
  <c r="AS5" i="123"/>
  <c r="AT5" i="123"/>
  <c r="AS24" i="123"/>
  <c r="AT24" i="123"/>
  <c r="AT40" i="123"/>
  <c r="AS40" i="123"/>
  <c r="AS48" i="123"/>
  <c r="AT48" i="123"/>
  <c r="AS20" i="123"/>
  <c r="AT20" i="123"/>
  <c r="AS13" i="123"/>
  <c r="AT13" i="123"/>
  <c r="AT4" i="123"/>
  <c r="AS4" i="123"/>
  <c r="AS44" i="123"/>
  <c r="AT44" i="123"/>
  <c r="AS15" i="123"/>
  <c r="AT15" i="123"/>
  <c r="AS35" i="123"/>
  <c r="AT35" i="123"/>
  <c r="AT19" i="123"/>
  <c r="AS19" i="123"/>
  <c r="AS12" i="123"/>
  <c r="AT12" i="123"/>
  <c r="AS3" i="123"/>
  <c r="AT3" i="123"/>
  <c r="AT49" i="123"/>
  <c r="AT37" i="123"/>
  <c r="AS52" i="123" l="1"/>
  <c r="O11" i="123" s="1"/>
  <c r="F9" i="123" s="1"/>
  <c r="AT52" i="123"/>
  <c r="P11" i="123" s="1"/>
  <c r="H17" i="134" l="1"/>
  <c r="F17" i="134"/>
  <c r="F16" i="134"/>
  <c r="F15" i="134"/>
  <c r="F14" i="134"/>
  <c r="F13" i="134"/>
  <c r="Q50" i="134" s="1"/>
  <c r="F12" i="134"/>
  <c r="F10" i="134"/>
  <c r="F9" i="134"/>
  <c r="I50" i="134"/>
  <c r="H17" i="135"/>
  <c r="T68" i="135" s="1"/>
  <c r="F17" i="135"/>
  <c r="F16" i="135"/>
  <c r="F15" i="135"/>
  <c r="F13" i="135"/>
  <c r="I51" i="135" s="1"/>
  <c r="F9" i="135"/>
  <c r="I50" i="135"/>
  <c r="W47" i="135" s="1"/>
  <c r="R49" i="135"/>
  <c r="S69" i="134"/>
  <c r="S71" i="134" s="1"/>
  <c r="E48" i="134" l="1"/>
  <c r="E48" i="135"/>
  <c r="I49" i="134"/>
  <c r="I51" i="134"/>
  <c r="R55" i="134" s="1"/>
  <c r="I48" i="135"/>
  <c r="I48" i="134"/>
  <c r="R53" i="134" s="1"/>
  <c r="I49" i="135"/>
  <c r="T72" i="134"/>
  <c r="X76" i="134"/>
  <c r="Y77" i="134" s="1"/>
  <c r="S73" i="134"/>
  <c r="F23" i="134" s="1"/>
  <c r="X78" i="134"/>
  <c r="X80" i="134" s="1"/>
  <c r="Y78" i="134"/>
  <c r="X69" i="134"/>
  <c r="T70" i="134"/>
  <c r="X83" i="134"/>
  <c r="T71" i="134"/>
  <c r="V50" i="134"/>
  <c r="V49" i="134"/>
  <c r="V48" i="134"/>
  <c r="V51" i="134"/>
  <c r="Y68" i="135"/>
  <c r="Z71" i="135" s="1"/>
  <c r="U69" i="135"/>
  <c r="Y75" i="135"/>
  <c r="Y77" i="135" s="1"/>
  <c r="Y82" i="135"/>
  <c r="Z85" i="135" s="1"/>
  <c r="W48" i="135"/>
  <c r="T75" i="135"/>
  <c r="T82" i="135"/>
  <c r="T70" i="135"/>
  <c r="T72" i="135" s="1"/>
  <c r="Y72" i="134"/>
  <c r="W49" i="135"/>
  <c r="R50" i="135" s="1"/>
  <c r="U70" i="135"/>
  <c r="Y79" i="134"/>
  <c r="S76" i="134"/>
  <c r="S83" i="134"/>
  <c r="Z84" i="135"/>
  <c r="W50" i="135"/>
  <c r="U71" i="135"/>
  <c r="E49" i="135" l="1"/>
  <c r="Q51" i="134"/>
  <c r="E49" i="134" s="1"/>
  <c r="E52" i="134" s="1"/>
  <c r="E58" i="134" s="1"/>
  <c r="E23" i="134" s="1"/>
  <c r="Z77" i="135"/>
  <c r="Z69" i="135"/>
  <c r="Y70" i="135"/>
  <c r="Z78" i="135"/>
  <c r="Z70" i="135"/>
  <c r="Z76" i="135"/>
  <c r="Y84" i="134"/>
  <c r="Y85" i="134"/>
  <c r="X85" i="134"/>
  <c r="X87" i="134" s="1"/>
  <c r="Y70" i="134"/>
  <c r="X71" i="134"/>
  <c r="X73" i="134" s="1"/>
  <c r="Y71" i="134"/>
  <c r="Y86" i="134"/>
  <c r="Y79" i="135"/>
  <c r="Y84" i="135"/>
  <c r="Y86" i="135" s="1"/>
  <c r="Y72" i="135"/>
  <c r="E23" i="135" s="1"/>
  <c r="Z83" i="135"/>
  <c r="S85" i="134"/>
  <c r="S87" i="134" s="1"/>
  <c r="G25" i="134" s="1"/>
  <c r="T86" i="134"/>
  <c r="T84" i="134"/>
  <c r="T85" i="134"/>
  <c r="S78" i="134"/>
  <c r="S80" i="134" s="1"/>
  <c r="G23" i="134" s="1"/>
  <c r="T79" i="134"/>
  <c r="T77" i="134"/>
  <c r="T78" i="134"/>
  <c r="U83" i="135"/>
  <c r="U85" i="135"/>
  <c r="U84" i="135"/>
  <c r="T84" i="135"/>
  <c r="T86" i="135" s="1"/>
  <c r="F25" i="135" s="1"/>
  <c r="U76" i="135"/>
  <c r="U78" i="135"/>
  <c r="U77" i="135"/>
  <c r="T77" i="135"/>
  <c r="T79" i="135" s="1"/>
  <c r="F23" i="135" s="1"/>
  <c r="R25" i="134" l="1"/>
  <c r="R23" i="134"/>
  <c r="R24" i="134"/>
  <c r="U25" i="134"/>
  <c r="J25" i="134"/>
  <c r="U23" i="134"/>
  <c r="J23" i="134"/>
  <c r="J24" i="134"/>
  <c r="Y48" i="134"/>
  <c r="Y49" i="134" s="1"/>
  <c r="Y50" i="134" s="1"/>
  <c r="Y51" i="134" s="1"/>
  <c r="Y52" i="134" s="1"/>
  <c r="G62" i="134" s="1"/>
  <c r="U24" i="134"/>
  <c r="R26" i="134"/>
  <c r="J59" i="134" l="1"/>
  <c r="T9" i="104"/>
  <c r="J26" i="134"/>
  <c r="T10" i="104" s="1"/>
  <c r="U26" i="134"/>
  <c r="D108" i="131" l="1"/>
  <c r="M107" i="128" l="1"/>
  <c r="M105" i="131"/>
  <c r="D43" i="131"/>
  <c r="D44" i="131" s="1"/>
  <c r="D124" i="131"/>
  <c r="N127" i="131" s="1"/>
  <c r="D70" i="131"/>
  <c r="D69" i="131"/>
  <c r="P42" i="131"/>
  <c r="D40" i="131"/>
  <c r="P44" i="131" s="1"/>
  <c r="B33" i="131"/>
  <c r="H6" i="131"/>
  <c r="D6" i="131"/>
  <c r="D72" i="131" s="1"/>
  <c r="D125" i="131" l="1"/>
  <c r="P40" i="131"/>
  <c r="D41" i="131"/>
  <c r="D42" i="131" s="1"/>
  <c r="N126" i="131"/>
  <c r="D126" i="131" s="1"/>
  <c r="D17" i="131" s="1"/>
  <c r="E125" i="131"/>
  <c r="E124" i="131"/>
  <c r="D39" i="131" l="1"/>
  <c r="D73" i="131"/>
  <c r="D97" i="131"/>
  <c r="D72" i="124" l="1"/>
  <c r="D44" i="128" l="1"/>
  <c r="D43" i="128"/>
  <c r="P44" i="128"/>
  <c r="P42" i="128"/>
  <c r="N126" i="128"/>
  <c r="D128" i="128" s="1"/>
  <c r="D17" i="128" s="1"/>
  <c r="D126" i="128"/>
  <c r="N127" i="128" s="1"/>
  <c r="D108" i="128"/>
  <c r="D110" i="128" s="1"/>
  <c r="D70" i="128"/>
  <c r="D69" i="128"/>
  <c r="D42" i="128"/>
  <c r="D41" i="128"/>
  <c r="B35" i="128"/>
  <c r="H6" i="128"/>
  <c r="D6" i="128"/>
  <c r="D72" i="128" s="1"/>
  <c r="D207" i="127"/>
  <c r="R35" i="127"/>
  <c r="D267" i="127"/>
  <c r="N269" i="127" s="1"/>
  <c r="D250" i="127"/>
  <c r="U209" i="127"/>
  <c r="U208" i="127"/>
  <c r="U207" i="127"/>
  <c r="U201" i="127"/>
  <c r="U200" i="127"/>
  <c r="U199" i="127"/>
  <c r="U192" i="127"/>
  <c r="U191" i="127"/>
  <c r="U190" i="127"/>
  <c r="D189" i="127"/>
  <c r="O186" i="127"/>
  <c r="D114" i="127"/>
  <c r="D72" i="127"/>
  <c r="D163" i="127" s="1"/>
  <c r="F43" i="127"/>
  <c r="R43" i="127"/>
  <c r="D199" i="127" s="1"/>
  <c r="F42" i="127"/>
  <c r="R42" i="127"/>
  <c r="R41" i="127"/>
  <c r="D198" i="127" s="1"/>
  <c r="F40" i="127"/>
  <c r="D39" i="127"/>
  <c r="F38" i="127"/>
  <c r="F41" i="127" s="1"/>
  <c r="D38" i="127"/>
  <c r="D37" i="127"/>
  <c r="D36" i="127"/>
  <c r="R36" i="127"/>
  <c r="O36" i="127"/>
  <c r="O45" i="127" s="1"/>
  <c r="D45" i="127" s="1"/>
  <c r="D192" i="127" s="1"/>
  <c r="D35" i="127"/>
  <c r="D34" i="127"/>
  <c r="O30" i="127"/>
  <c r="X34" i="127" s="1"/>
  <c r="O29" i="127"/>
  <c r="D33" i="127" s="1"/>
  <c r="X36" i="127"/>
  <c r="X23" i="127" s="1"/>
  <c r="V36" i="127"/>
  <c r="V22" i="127" s="1"/>
  <c r="X35" i="127"/>
  <c r="V35" i="127"/>
  <c r="Z25" i="127" s="1"/>
  <c r="V34" i="127"/>
  <c r="D11" i="127"/>
  <c r="D113" i="127" s="1"/>
  <c r="V26" i="127"/>
  <c r="D6" i="127"/>
  <c r="D75" i="127" s="1"/>
  <c r="D167" i="127" s="1"/>
  <c r="X22" i="127"/>
  <c r="D207" i="126"/>
  <c r="D206" i="126"/>
  <c r="D199" i="126"/>
  <c r="D198" i="126"/>
  <c r="R35" i="126"/>
  <c r="N240" i="126"/>
  <c r="D242" i="126" s="1"/>
  <c r="D17" i="126" s="1"/>
  <c r="D240" i="126"/>
  <c r="N241" i="126" s="1"/>
  <c r="U208" i="126"/>
  <c r="U207" i="126"/>
  <c r="R207" i="126"/>
  <c r="U206" i="126"/>
  <c r="T206" i="126"/>
  <c r="U200" i="126"/>
  <c r="U199" i="126"/>
  <c r="R199" i="126"/>
  <c r="Q199" i="126"/>
  <c r="U198" i="126"/>
  <c r="T198" i="126"/>
  <c r="U191" i="126"/>
  <c r="U190" i="126"/>
  <c r="R190" i="126"/>
  <c r="Q190" i="126"/>
  <c r="U189" i="126"/>
  <c r="T189" i="126"/>
  <c r="D189" i="126"/>
  <c r="O185" i="126"/>
  <c r="Q207" i="126" s="1"/>
  <c r="D114" i="126"/>
  <c r="D72" i="126"/>
  <c r="D163" i="126" s="1"/>
  <c r="R43" i="126"/>
  <c r="R42" i="126"/>
  <c r="R41" i="126"/>
  <c r="D40" i="126"/>
  <c r="D39" i="126"/>
  <c r="D38" i="126"/>
  <c r="D37" i="126"/>
  <c r="R36" i="126"/>
  <c r="O36" i="126"/>
  <c r="O45" i="126" s="1"/>
  <c r="D45" i="126" s="1"/>
  <c r="D192" i="126" s="1"/>
  <c r="D36" i="126"/>
  <c r="D35" i="126"/>
  <c r="D34" i="126"/>
  <c r="O30" i="126"/>
  <c r="R40" i="126" s="1"/>
  <c r="O29" i="126"/>
  <c r="X36" i="126"/>
  <c r="V36" i="126"/>
  <c r="X35" i="126"/>
  <c r="V25" i="126" s="1"/>
  <c r="V35" i="126"/>
  <c r="V34" i="126"/>
  <c r="D11" i="126"/>
  <c r="D113" i="126" s="1"/>
  <c r="V26" i="126"/>
  <c r="Z25" i="126"/>
  <c r="X25" i="126"/>
  <c r="D6" i="126"/>
  <c r="D75" i="126" s="1"/>
  <c r="D167" i="126" s="1"/>
  <c r="V22" i="126"/>
  <c r="R35" i="125"/>
  <c r="N176" i="125"/>
  <c r="D175" i="125"/>
  <c r="N177" i="125" s="1"/>
  <c r="D158" i="125"/>
  <c r="U117" i="125"/>
  <c r="U116" i="125"/>
  <c r="U115" i="125"/>
  <c r="U109" i="125"/>
  <c r="U108" i="125"/>
  <c r="U107" i="125"/>
  <c r="U100" i="125"/>
  <c r="U99" i="125"/>
  <c r="U98" i="125"/>
  <c r="D97" i="125"/>
  <c r="O94" i="125"/>
  <c r="Q116" i="125" s="1"/>
  <c r="D70" i="125"/>
  <c r="D69" i="125"/>
  <c r="F43" i="125"/>
  <c r="R43" i="125"/>
  <c r="D107" i="125" s="1"/>
  <c r="F42" i="125"/>
  <c r="R42" i="125"/>
  <c r="D115" i="125" s="1"/>
  <c r="R41" i="125"/>
  <c r="D106" i="125" s="1"/>
  <c r="D39" i="125"/>
  <c r="F38" i="125"/>
  <c r="F41" i="125" s="1"/>
  <c r="F44" i="125" s="1"/>
  <c r="D38" i="125"/>
  <c r="D37" i="125"/>
  <c r="D36" i="125"/>
  <c r="R36" i="125"/>
  <c r="O36" i="125"/>
  <c r="O45" i="125" s="1"/>
  <c r="D45" i="125" s="1"/>
  <c r="D100" i="125" s="1"/>
  <c r="D35" i="125"/>
  <c r="D34" i="125"/>
  <c r="D33" i="125"/>
  <c r="O30" i="125"/>
  <c r="X34" i="125" s="1"/>
  <c r="O29" i="125"/>
  <c r="X36" i="125"/>
  <c r="V36" i="125"/>
  <c r="V22" i="125" s="1"/>
  <c r="X35" i="125"/>
  <c r="V26" i="125" s="1"/>
  <c r="V35" i="125"/>
  <c r="V34" i="125"/>
  <c r="Z25" i="125"/>
  <c r="D6" i="125"/>
  <c r="D72" i="125" s="1"/>
  <c r="O36" i="124"/>
  <c r="D115" i="124"/>
  <c r="D114" i="124"/>
  <c r="D107" i="124"/>
  <c r="D106" i="124"/>
  <c r="R35" i="124"/>
  <c r="N149" i="124"/>
  <c r="D149" i="124"/>
  <c r="N148" i="124"/>
  <c r="D150" i="124" s="1"/>
  <c r="D17" i="124" s="1"/>
  <c r="E148" i="124"/>
  <c r="D148" i="124"/>
  <c r="E149" i="124" s="1"/>
  <c r="U116" i="124"/>
  <c r="U115" i="124"/>
  <c r="U114" i="124"/>
  <c r="U108" i="124"/>
  <c r="U107" i="124"/>
  <c r="U106" i="124"/>
  <c r="U99" i="124"/>
  <c r="U98" i="124"/>
  <c r="U97" i="124"/>
  <c r="D97" i="124"/>
  <c r="O93" i="124"/>
  <c r="Q115" i="124" s="1"/>
  <c r="D70" i="124"/>
  <c r="D69" i="124"/>
  <c r="R43" i="124"/>
  <c r="R42" i="124"/>
  <c r="R41" i="124"/>
  <c r="R40" i="124"/>
  <c r="D40" i="124"/>
  <c r="D39" i="124"/>
  <c r="D38" i="124"/>
  <c r="D37" i="124"/>
  <c r="R36" i="124"/>
  <c r="O45" i="124"/>
  <c r="D45" i="124" s="1"/>
  <c r="D100" i="124" s="1"/>
  <c r="D36" i="124"/>
  <c r="D35" i="124"/>
  <c r="D34" i="124"/>
  <c r="O30" i="124"/>
  <c r="X34" i="124" s="1"/>
  <c r="O29" i="124"/>
  <c r="X36" i="124"/>
  <c r="V36" i="124"/>
  <c r="X35" i="124"/>
  <c r="V26" i="124" s="1"/>
  <c r="V35" i="124"/>
  <c r="V34" i="124"/>
  <c r="Z26" i="124"/>
  <c r="X26" i="124"/>
  <c r="Z25" i="124"/>
  <c r="V25" i="124"/>
  <c r="Z24" i="124"/>
  <c r="X24" i="124"/>
  <c r="D6" i="124"/>
  <c r="Z23" i="124"/>
  <c r="X23" i="124"/>
  <c r="Z22" i="124"/>
  <c r="X22" i="124"/>
  <c r="I22" i="123"/>
  <c r="S32" i="123"/>
  <c r="I17" i="123"/>
  <c r="F17" i="123"/>
  <c r="E7" i="123" s="1"/>
  <c r="F16" i="123"/>
  <c r="E16" i="123"/>
  <c r="F15" i="123"/>
  <c r="I14" i="123"/>
  <c r="I16" i="123" s="1"/>
  <c r="F14" i="123"/>
  <c r="E14" i="123"/>
  <c r="I13" i="123"/>
  <c r="I15" i="123" s="1"/>
  <c r="F13" i="123"/>
  <c r="I12" i="123"/>
  <c r="F12" i="123"/>
  <c r="AJ15" i="123"/>
  <c r="AH15" i="123"/>
  <c r="F11" i="123"/>
  <c r="AK10" i="123"/>
  <c r="AJ10" i="123"/>
  <c r="AI10" i="123"/>
  <c r="AH14" i="123"/>
  <c r="AE8" i="123"/>
  <c r="G18" i="123" s="1"/>
  <c r="D250" i="103"/>
  <c r="N268" i="127" l="1"/>
  <c r="D269" i="127" s="1"/>
  <c r="D17" i="127" s="1"/>
  <c r="X25" i="127"/>
  <c r="V23" i="127"/>
  <c r="F44" i="127"/>
  <c r="D237" i="127" s="1"/>
  <c r="D268" i="127"/>
  <c r="V25" i="127"/>
  <c r="X23" i="125"/>
  <c r="V25" i="125"/>
  <c r="F40" i="125"/>
  <c r="D145" i="125" s="1"/>
  <c r="T115" i="125"/>
  <c r="D176" i="125"/>
  <c r="X22" i="125"/>
  <c r="Q99" i="125"/>
  <c r="Q108" i="125"/>
  <c r="D177" i="125"/>
  <c r="D16" i="125" s="1"/>
  <c r="R116" i="125"/>
  <c r="H108" i="128"/>
  <c r="Q98" i="124"/>
  <c r="Q107" i="124"/>
  <c r="R115" i="124"/>
  <c r="T114" i="124"/>
  <c r="AJ14" i="123"/>
  <c r="AF11" i="123" s="1"/>
  <c r="D73" i="128"/>
  <c r="D97" i="128"/>
  <c r="D127" i="128"/>
  <c r="E127" i="128"/>
  <c r="P40" i="128"/>
  <c r="E126" i="128"/>
  <c r="Z26" i="127"/>
  <c r="Z24" i="127"/>
  <c r="Z23" i="127"/>
  <c r="Z22" i="127"/>
  <c r="Z29" i="127" s="1"/>
  <c r="Z31" i="127" s="1"/>
  <c r="O33" i="127" s="1"/>
  <c r="O42" i="127" s="1"/>
  <c r="D42" i="127" s="1"/>
  <c r="V24" i="127"/>
  <c r="X26" i="127"/>
  <c r="T207" i="127"/>
  <c r="R208" i="127"/>
  <c r="R40" i="127"/>
  <c r="D71" i="127"/>
  <c r="Q191" i="127"/>
  <c r="Q200" i="127"/>
  <c r="E268" i="127"/>
  <c r="Q208" i="127"/>
  <c r="X24" i="127"/>
  <c r="T190" i="127"/>
  <c r="R191" i="127"/>
  <c r="T199" i="127"/>
  <c r="R200" i="127"/>
  <c r="E267" i="127"/>
  <c r="D200" i="126"/>
  <c r="Q202" i="126" s="1"/>
  <c r="S202" i="126" s="1"/>
  <c r="D208" i="126"/>
  <c r="X22" i="126"/>
  <c r="X23" i="126"/>
  <c r="X24" i="126"/>
  <c r="X26" i="126"/>
  <c r="X34" i="126"/>
  <c r="D71" i="126"/>
  <c r="D241" i="126"/>
  <c r="E241" i="126"/>
  <c r="E240" i="126"/>
  <c r="Z26" i="125"/>
  <c r="Z24" i="125"/>
  <c r="Z23" i="125"/>
  <c r="Z22" i="125"/>
  <c r="V24" i="125"/>
  <c r="V23" i="125"/>
  <c r="X24" i="125"/>
  <c r="X26" i="125"/>
  <c r="R40" i="125"/>
  <c r="T98" i="125"/>
  <c r="R99" i="125"/>
  <c r="T107" i="125"/>
  <c r="R108" i="125"/>
  <c r="E176" i="125"/>
  <c r="X25" i="125"/>
  <c r="E175" i="125"/>
  <c r="D108" i="124"/>
  <c r="O108" i="124" s="1"/>
  <c r="V24" i="124"/>
  <c r="V23" i="124"/>
  <c r="D116" i="124"/>
  <c r="V22" i="124"/>
  <c r="X25" i="124"/>
  <c r="T97" i="124"/>
  <c r="R98" i="124"/>
  <c r="T106" i="124"/>
  <c r="R107" i="124"/>
  <c r="AK8" i="123"/>
  <c r="AJ8" i="123"/>
  <c r="AI8" i="123"/>
  <c r="Z28" i="125" l="1"/>
  <c r="Z30" i="125" s="1"/>
  <c r="O34" i="125" s="1"/>
  <c r="O43" i="125" s="1"/>
  <c r="D43" i="125" s="1"/>
  <c r="D200" i="127"/>
  <c r="N201" i="127" s="1"/>
  <c r="T200" i="127" s="1"/>
  <c r="D206" i="127"/>
  <c r="D208" i="127" s="1"/>
  <c r="D108" i="125"/>
  <c r="N109" i="125" s="1"/>
  <c r="T108" i="125" s="1"/>
  <c r="D114" i="125"/>
  <c r="D116" i="125" s="1"/>
  <c r="Q119" i="125" s="1"/>
  <c r="S119" i="125" s="1"/>
  <c r="T119" i="125" s="1"/>
  <c r="D117" i="125" s="1"/>
  <c r="D118" i="125" s="1"/>
  <c r="X30" i="127"/>
  <c r="X31" i="127"/>
  <c r="X32" i="127"/>
  <c r="D162" i="127"/>
  <c r="D73" i="127"/>
  <c r="X28" i="127"/>
  <c r="Q203" i="127"/>
  <c r="S203" i="127" s="1"/>
  <c r="O203" i="127"/>
  <c r="N203" i="127"/>
  <c r="T201" i="127" s="1"/>
  <c r="O201" i="127"/>
  <c r="Z28" i="127"/>
  <c r="Z30" i="127" s="1"/>
  <c r="X29" i="127"/>
  <c r="N200" i="126"/>
  <c r="T199" i="126" s="1"/>
  <c r="N202" i="126"/>
  <c r="T200" i="126" s="1"/>
  <c r="O200" i="126"/>
  <c r="O202" i="126"/>
  <c r="V24" i="126"/>
  <c r="V23" i="126"/>
  <c r="Z26" i="126"/>
  <c r="Z24" i="126"/>
  <c r="Z23" i="126"/>
  <c r="Z22" i="126"/>
  <c r="O210" i="126"/>
  <c r="N210" i="126"/>
  <c r="T208" i="126" s="1"/>
  <c r="O208" i="126"/>
  <c r="Q210" i="126"/>
  <c r="S210" i="126" s="1"/>
  <c r="N208" i="126"/>
  <c r="T207" i="126" s="1"/>
  <c r="D73" i="126"/>
  <c r="D162" i="126"/>
  <c r="U202" i="126"/>
  <c r="G198" i="126" s="1"/>
  <c r="T202" i="126"/>
  <c r="D201" i="126" s="1"/>
  <c r="D202" i="126" s="1"/>
  <c r="V28" i="125"/>
  <c r="V29" i="125"/>
  <c r="N111" i="125"/>
  <c r="T109" i="125" s="1"/>
  <c r="Z29" i="125"/>
  <c r="Z31" i="125" s="1"/>
  <c r="X30" i="125" s="1"/>
  <c r="V31" i="125"/>
  <c r="V32" i="125"/>
  <c r="V30" i="125"/>
  <c r="U119" i="125"/>
  <c r="G114" i="125" s="1"/>
  <c r="Q110" i="124"/>
  <c r="S110" i="124" s="1"/>
  <c r="U110" i="124" s="1"/>
  <c r="G106" i="124" s="1"/>
  <c r="O110" i="124"/>
  <c r="N108" i="124"/>
  <c r="T107" i="124" s="1"/>
  <c r="N110" i="124"/>
  <c r="T108" i="124" s="1"/>
  <c r="Z28" i="124"/>
  <c r="Z30" i="124" s="1"/>
  <c r="V31" i="124" s="1"/>
  <c r="Z29" i="124"/>
  <c r="Z31" i="124" s="1"/>
  <c r="O118" i="124"/>
  <c r="N118" i="124"/>
  <c r="T116" i="124" s="1"/>
  <c r="O116" i="124"/>
  <c r="Q118" i="124"/>
  <c r="S118" i="124" s="1"/>
  <c r="N116" i="124"/>
  <c r="T115" i="124" s="1"/>
  <c r="Q111" i="125" l="1"/>
  <c r="S111" i="125" s="1"/>
  <c r="T111" i="125" s="1"/>
  <c r="D109" i="125" s="1"/>
  <c r="D110" i="125" s="1"/>
  <c r="O109" i="125"/>
  <c r="N117" i="125"/>
  <c r="T116" i="125" s="1"/>
  <c r="N119" i="125"/>
  <c r="T117" i="125" s="1"/>
  <c r="O111" i="125"/>
  <c r="O117" i="125"/>
  <c r="Z33" i="127"/>
  <c r="O32" i="127" s="1"/>
  <c r="O209" i="127"/>
  <c r="N211" i="127"/>
  <c r="T209" i="127" s="1"/>
  <c r="N209" i="127"/>
  <c r="T208" i="127" s="1"/>
  <c r="O211" i="127"/>
  <c r="Q211" i="127"/>
  <c r="S211" i="127" s="1"/>
  <c r="X29" i="125"/>
  <c r="O119" i="125"/>
  <c r="T110" i="124"/>
  <c r="D109" i="124" s="1"/>
  <c r="D110" i="124" s="1"/>
  <c r="U203" i="127"/>
  <c r="G198" i="127" s="1"/>
  <c r="T203" i="127"/>
  <c r="D201" i="127" s="1"/>
  <c r="D202" i="127" s="1"/>
  <c r="O34" i="127"/>
  <c r="O43" i="127" s="1"/>
  <c r="D43" i="127" s="1"/>
  <c r="V31" i="127"/>
  <c r="V28" i="127"/>
  <c r="V29" i="127"/>
  <c r="V30" i="127"/>
  <c r="V32" i="127"/>
  <c r="D164" i="127"/>
  <c r="U210" i="126"/>
  <c r="G206" i="126" s="1"/>
  <c r="T210" i="126"/>
  <c r="D209" i="126" s="1"/>
  <c r="D210" i="126" s="1"/>
  <c r="D164" i="126"/>
  <c r="Z29" i="126"/>
  <c r="Z31" i="126" s="1"/>
  <c r="X29" i="126" s="1"/>
  <c r="Z28" i="126"/>
  <c r="Z30" i="126" s="1"/>
  <c r="O33" i="125"/>
  <c r="O42" i="125" s="1"/>
  <c r="D42" i="125" s="1"/>
  <c r="X31" i="125"/>
  <c r="X32" i="125"/>
  <c r="X28" i="125"/>
  <c r="Z33" i="125" s="1"/>
  <c r="O32" i="125" s="1"/>
  <c r="Z32" i="125"/>
  <c r="O31" i="125" s="1"/>
  <c r="O34" i="124"/>
  <c r="O43" i="124" s="1"/>
  <c r="V29" i="124"/>
  <c r="V30" i="124"/>
  <c r="V28" i="124"/>
  <c r="V32" i="124"/>
  <c r="U118" i="124"/>
  <c r="G114" i="124" s="1"/>
  <c r="T118" i="124"/>
  <c r="D117" i="124" s="1"/>
  <c r="D118" i="124" s="1"/>
  <c r="O33" i="124"/>
  <c r="O42" i="124" s="1"/>
  <c r="D43" i="124" s="1"/>
  <c r="X29" i="124"/>
  <c r="X31" i="124"/>
  <c r="X28" i="124"/>
  <c r="Z33" i="124" s="1"/>
  <c r="O32" i="124" s="1"/>
  <c r="X30" i="124"/>
  <c r="X32" i="124"/>
  <c r="U111" i="125" l="1"/>
  <c r="G106" i="125" s="1"/>
  <c r="X28" i="126"/>
  <c r="X32" i="126"/>
  <c r="O41" i="124"/>
  <c r="D42" i="124" s="1"/>
  <c r="D73" i="124" s="1"/>
  <c r="O35" i="124"/>
  <c r="Z32" i="124"/>
  <c r="O31" i="124" s="1"/>
  <c r="O40" i="124" s="1"/>
  <c r="D41" i="124" s="1"/>
  <c r="D98" i="124" s="1"/>
  <c r="T211" i="127"/>
  <c r="D209" i="127" s="1"/>
  <c r="D210" i="127" s="1"/>
  <c r="U211" i="127"/>
  <c r="G206" i="127" s="1"/>
  <c r="O41" i="127"/>
  <c r="D41" i="127" s="1"/>
  <c r="J41" i="127" s="1"/>
  <c r="D76" i="127" s="1"/>
  <c r="O35" i="127"/>
  <c r="O41" i="125"/>
  <c r="D41" i="125" s="1"/>
  <c r="J41" i="125" s="1"/>
  <c r="D73" i="125" s="1"/>
  <c r="O35" i="125"/>
  <c r="Z32" i="127"/>
  <c r="O31" i="127" s="1"/>
  <c r="X30" i="126"/>
  <c r="O34" i="126"/>
  <c r="O43" i="126" s="1"/>
  <c r="V31" i="126"/>
  <c r="V29" i="126"/>
  <c r="V30" i="126"/>
  <c r="V28" i="126"/>
  <c r="V32" i="126"/>
  <c r="X31" i="126"/>
  <c r="O33" i="126"/>
  <c r="O42" i="126" s="1"/>
  <c r="D43" i="126" s="1"/>
  <c r="O44" i="125"/>
  <c r="D44" i="125" s="1"/>
  <c r="D99" i="125" s="1"/>
  <c r="O40" i="125"/>
  <c r="D40" i="125" s="1"/>
  <c r="D98" i="125" s="1"/>
  <c r="O44" i="124"/>
  <c r="Z33" i="126" l="1"/>
  <c r="O32" i="126" s="1"/>
  <c r="D44" i="124"/>
  <c r="D99" i="124" s="1"/>
  <c r="I97" i="124" s="1"/>
  <c r="I97" i="125"/>
  <c r="Q102" i="125" s="1"/>
  <c r="S102" i="125" s="1"/>
  <c r="O44" i="127"/>
  <c r="D44" i="127" s="1"/>
  <c r="D191" i="127" s="1"/>
  <c r="O40" i="127"/>
  <c r="D40" i="127" s="1"/>
  <c r="D190" i="127" s="1"/>
  <c r="Z32" i="126"/>
  <c r="O31" i="126" s="1"/>
  <c r="J40" i="125"/>
  <c r="O41" i="126" l="1"/>
  <c r="D42" i="126" s="1"/>
  <c r="D76" i="126" s="1"/>
  <c r="O35" i="126"/>
  <c r="I189" i="127"/>
  <c r="O192" i="127" s="1"/>
  <c r="O100" i="125"/>
  <c r="N102" i="125"/>
  <c r="T100" i="125" s="1"/>
  <c r="N100" i="125"/>
  <c r="T99" i="125" s="1"/>
  <c r="T102" i="125" s="1"/>
  <c r="D101" i="125" s="1"/>
  <c r="D102" i="125" s="1"/>
  <c r="D125" i="125" s="1"/>
  <c r="O102" i="125"/>
  <c r="J40" i="127"/>
  <c r="O40" i="126"/>
  <c r="D41" i="126" s="1"/>
  <c r="D190" i="126" s="1"/>
  <c r="O44" i="126"/>
  <c r="D44" i="126" s="1"/>
  <c r="U102" i="125"/>
  <c r="G99" i="125" s="1"/>
  <c r="J43" i="125"/>
  <c r="Q101" i="124"/>
  <c r="S101" i="124" s="1"/>
  <c r="N99" i="124"/>
  <c r="T98" i="124" s="1"/>
  <c r="O101" i="124"/>
  <c r="N101" i="124"/>
  <c r="T99" i="124" s="1"/>
  <c r="O99" i="124"/>
  <c r="N194" i="127" l="1"/>
  <c r="T192" i="127" s="1"/>
  <c r="O194" i="127"/>
  <c r="Q194" i="127"/>
  <c r="S194" i="127" s="1"/>
  <c r="U194" i="127" s="1"/>
  <c r="G191" i="127" s="1"/>
  <c r="N192" i="127"/>
  <c r="T191" i="127" s="1"/>
  <c r="D168" i="127"/>
  <c r="J43" i="127"/>
  <c r="D191" i="126"/>
  <c r="I189" i="126" s="1"/>
  <c r="D168" i="126"/>
  <c r="J44" i="125"/>
  <c r="U101" i="124"/>
  <c r="G99" i="124" s="1"/>
  <c r="T101" i="124"/>
  <c r="D101" i="124" s="1"/>
  <c r="D102" i="124" s="1"/>
  <c r="D125" i="124" s="1"/>
  <c r="T194" i="127" l="1"/>
  <c r="D193" i="127" s="1"/>
  <c r="D194" i="127" s="1"/>
  <c r="D217" i="127" s="1"/>
  <c r="J44" i="127"/>
  <c r="Q193" i="126"/>
  <c r="S193" i="126" s="1"/>
  <c r="N191" i="126"/>
  <c r="T190" i="126" s="1"/>
  <c r="O193" i="126"/>
  <c r="N193" i="126"/>
  <c r="T191" i="126" s="1"/>
  <c r="O191" i="126"/>
  <c r="U193" i="126" l="1"/>
  <c r="G191" i="126" s="1"/>
  <c r="T193" i="126"/>
  <c r="D193" i="126" s="1"/>
  <c r="D194" i="126" s="1"/>
  <c r="D217" i="126" s="1"/>
  <c r="F43" i="103" l="1"/>
  <c r="N23" i="119" l="1"/>
  <c r="N22" i="119"/>
  <c r="N21" i="119"/>
  <c r="D23" i="119" s="1"/>
  <c r="N20" i="119"/>
  <c r="D24" i="119" s="1"/>
  <c r="N28" i="119" l="1"/>
  <c r="N29" i="119"/>
  <c r="N19" i="119" s="1"/>
  <c r="D20" i="119" s="1"/>
  <c r="N25" i="119" l="1"/>
  <c r="N24" i="119"/>
  <c r="N26" i="119" l="1"/>
  <c r="D21" i="119"/>
  <c r="N27" i="119"/>
  <c r="D22" i="119"/>
  <c r="L149" i="119" l="1"/>
  <c r="D150" i="119" s="1"/>
  <c r="D152" i="119" s="1"/>
  <c r="F6" i="119"/>
  <c r="D6" i="119"/>
  <c r="D108" i="112"/>
  <c r="D110" i="112" s="1"/>
  <c r="M106" i="112"/>
  <c r="H108" i="112" s="1"/>
  <c r="M105" i="115"/>
  <c r="H106" i="115" s="1"/>
  <c r="H6" i="115"/>
  <c r="D6" i="115"/>
  <c r="D106" i="111"/>
  <c r="D109" i="111" s="1"/>
  <c r="M105" i="111"/>
  <c r="H106" i="111" s="1"/>
  <c r="H6" i="111"/>
  <c r="D6" i="111"/>
  <c r="H6" i="112"/>
  <c r="D6" i="112"/>
  <c r="M107" i="110"/>
  <c r="H108" i="110" s="1"/>
  <c r="D6" i="110"/>
  <c r="H6" i="110"/>
  <c r="D106" i="115" l="1"/>
  <c r="D109" i="115" s="1"/>
  <c r="L167" i="119"/>
  <c r="G150" i="119"/>
  <c r="D108" i="110"/>
  <c r="D110" i="110" s="1"/>
  <c r="D34" i="122"/>
  <c r="F34" i="122" s="1"/>
  <c r="D33" i="122"/>
  <c r="F33" i="122" s="1"/>
  <c r="D32" i="122"/>
  <c r="D31" i="122"/>
  <c r="N28" i="122"/>
  <c r="W29" i="122"/>
  <c r="U29" i="122"/>
  <c r="W28" i="122"/>
  <c r="U18" i="122" s="1"/>
  <c r="U28" i="122"/>
  <c r="U27" i="122"/>
  <c r="N22" i="122"/>
  <c r="W27" i="122" s="1"/>
  <c r="N21" i="122"/>
  <c r="Y17" i="122"/>
  <c r="W16" i="122"/>
  <c r="W14" i="122"/>
  <c r="D257" i="122"/>
  <c r="D258" i="122" s="1"/>
  <c r="T208" i="122"/>
  <c r="T207" i="122"/>
  <c r="Q207" i="122"/>
  <c r="P207" i="122"/>
  <c r="T206" i="122"/>
  <c r="S206" i="122"/>
  <c r="T200" i="122"/>
  <c r="T199" i="122"/>
  <c r="Q199" i="122"/>
  <c r="P199" i="122"/>
  <c r="T198" i="122"/>
  <c r="S198" i="122"/>
  <c r="T191" i="122"/>
  <c r="T190" i="122"/>
  <c r="Q190" i="122"/>
  <c r="P190" i="122"/>
  <c r="T189" i="122"/>
  <c r="S189" i="122"/>
  <c r="D189" i="122"/>
  <c r="M185" i="122"/>
  <c r="T166" i="122"/>
  <c r="T165" i="122"/>
  <c r="Q165" i="122"/>
  <c r="P165" i="122"/>
  <c r="D165" i="122"/>
  <c r="D199" i="122" s="1"/>
  <c r="T164" i="122"/>
  <c r="S164" i="122"/>
  <c r="T157" i="122"/>
  <c r="T156" i="122"/>
  <c r="Q156" i="122"/>
  <c r="P156" i="122"/>
  <c r="T155" i="122"/>
  <c r="S155" i="122"/>
  <c r="T147" i="122"/>
  <c r="T146" i="122"/>
  <c r="Q146" i="122"/>
  <c r="P146" i="122"/>
  <c r="T145" i="122"/>
  <c r="S145" i="122"/>
  <c r="D145" i="122"/>
  <c r="M141" i="122"/>
  <c r="D113" i="122"/>
  <c r="D105" i="122"/>
  <c r="D104" i="122"/>
  <c r="D103" i="122"/>
  <c r="B95" i="122" s="1"/>
  <c r="D102" i="122"/>
  <c r="Q135" i="122" s="1"/>
  <c r="D134" i="122" s="1"/>
  <c r="R79" i="122"/>
  <c r="Q79" i="122" s="1"/>
  <c r="R78" i="122"/>
  <c r="Q78" i="122" s="1"/>
  <c r="R77" i="122"/>
  <c r="Q77" i="122" s="1"/>
  <c r="R76" i="122"/>
  <c r="Q76" i="122" s="1"/>
  <c r="R75" i="122"/>
  <c r="Q75" i="122" s="1"/>
  <c r="R74" i="122"/>
  <c r="Q74" i="122" s="1"/>
  <c r="D69" i="122"/>
  <c r="O67" i="122"/>
  <c r="D67" i="122"/>
  <c r="O66" i="122"/>
  <c r="D66" i="122"/>
  <c r="D68" i="122" s="1"/>
  <c r="O65" i="122"/>
  <c r="E41" i="122"/>
  <c r="D241" i="122" s="1"/>
  <c r="F241" i="122" s="1"/>
  <c r="G34" i="122"/>
  <c r="D155" i="122" s="1"/>
  <c r="D206" i="122" s="1"/>
  <c r="E13" i="122"/>
  <c r="W17" i="122" l="1"/>
  <c r="W18" i="122"/>
  <c r="D156" i="122"/>
  <c r="D207" i="122" s="1"/>
  <c r="M258" i="122"/>
  <c r="D259" i="122" s="1"/>
  <c r="E42" i="122" s="1"/>
  <c r="M257" i="122"/>
  <c r="D27" i="122"/>
  <c r="D148" i="122" s="1"/>
  <c r="W15" i="122"/>
  <c r="U17" i="122"/>
  <c r="G168" i="119"/>
  <c r="D168" i="119"/>
  <c r="D170" i="119" s="1"/>
  <c r="I66" i="122"/>
  <c r="D81" i="122" s="1"/>
  <c r="Q129" i="122"/>
  <c r="D128" i="122" s="1"/>
  <c r="O100" i="122"/>
  <c r="M103" i="122"/>
  <c r="C96" i="122" s="1"/>
  <c r="Q114" i="122"/>
  <c r="D109" i="122" s="1"/>
  <c r="M102" i="122"/>
  <c r="C95" i="122" s="1"/>
  <c r="G33" i="122"/>
  <c r="D164" i="122" s="1"/>
  <c r="D198" i="122" s="1"/>
  <c r="D200" i="122" s="1"/>
  <c r="D208" i="122"/>
  <c r="M208" i="122" s="1"/>
  <c r="S207" i="122" s="1"/>
  <c r="Y18" i="122"/>
  <c r="U16" i="122"/>
  <c r="Y16" i="122"/>
  <c r="U15" i="122"/>
  <c r="Y14" i="122"/>
  <c r="U14" i="122"/>
  <c r="Y15" i="122"/>
  <c r="D157" i="122"/>
  <c r="D192" i="122"/>
  <c r="O101" i="122"/>
  <c r="O99" i="122"/>
  <c r="O102" i="122"/>
  <c r="Q131" i="122"/>
  <c r="I128" i="122" s="1"/>
  <c r="B96" i="122"/>
  <c r="Q120" i="122"/>
  <c r="I118" i="122" s="1"/>
  <c r="I113" i="122"/>
  <c r="Q137" i="122"/>
  <c r="I134" i="122" s="1"/>
  <c r="E258" i="122"/>
  <c r="Q112" i="122"/>
  <c r="D107" i="122" s="1"/>
  <c r="Q118" i="122"/>
  <c r="D118" i="122" s="1"/>
  <c r="E257" i="122"/>
  <c r="D78" i="122" l="1"/>
  <c r="P210" i="122"/>
  <c r="R210" i="122" s="1"/>
  <c r="N210" i="122"/>
  <c r="M210" i="122"/>
  <c r="S208" i="122" s="1"/>
  <c r="N208" i="122"/>
  <c r="D166" i="122"/>
  <c r="M168" i="122" s="1"/>
  <c r="S166" i="122" s="1"/>
  <c r="Y22" i="122"/>
  <c r="Y24" i="122" s="1"/>
  <c r="W23" i="122" s="1"/>
  <c r="U19" i="122"/>
  <c r="D20" i="122" s="1"/>
  <c r="O68" i="122" s="1"/>
  <c r="O69" i="122" s="1"/>
  <c r="I68" i="122" s="1"/>
  <c r="I71" i="122" s="1"/>
  <c r="I78" i="122" s="1"/>
  <c r="Y21" i="122"/>
  <c r="Y23" i="122" s="1"/>
  <c r="W22" i="122"/>
  <c r="P98" i="122"/>
  <c r="O98" i="122" s="1"/>
  <c r="P202" i="122"/>
  <c r="R202" i="122" s="1"/>
  <c r="M200" i="122"/>
  <c r="S199" i="122" s="1"/>
  <c r="M202" i="122"/>
  <c r="S200" i="122" s="1"/>
  <c r="N202" i="122"/>
  <c r="N200" i="122"/>
  <c r="S210" i="122"/>
  <c r="D209" i="122" s="1"/>
  <c r="D210" i="122" s="1"/>
  <c r="T210" i="122"/>
  <c r="G206" i="122" s="1"/>
  <c r="M159" i="122"/>
  <c r="S157" i="122" s="1"/>
  <c r="P159" i="122"/>
  <c r="R159" i="122" s="1"/>
  <c r="M157" i="122"/>
  <c r="S156" i="122" s="1"/>
  <c r="N157" i="122"/>
  <c r="N159" i="122"/>
  <c r="P168" i="122" l="1"/>
  <c r="R168" i="122" s="1"/>
  <c r="N166" i="122"/>
  <c r="N168" i="122"/>
  <c r="M166" i="122"/>
  <c r="S165" i="122" s="1"/>
  <c r="I81" i="122"/>
  <c r="D84" i="122" s="1"/>
  <c r="W21" i="122"/>
  <c r="D12" i="122"/>
  <c r="D174" i="122" s="1"/>
  <c r="U21" i="122"/>
  <c r="N26" i="122"/>
  <c r="D23" i="122" s="1"/>
  <c r="U22" i="122"/>
  <c r="U25" i="122"/>
  <c r="U23" i="122"/>
  <c r="U24" i="122"/>
  <c r="N25" i="122"/>
  <c r="D24" i="122" s="1"/>
  <c r="W24" i="122"/>
  <c r="W25" i="122"/>
  <c r="S202" i="122"/>
  <c r="D201" i="122" s="1"/>
  <c r="D202" i="122" s="1"/>
  <c r="T202" i="122"/>
  <c r="G198" i="122" s="1"/>
  <c r="S159" i="122"/>
  <c r="D158" i="122" s="1"/>
  <c r="D159" i="122" s="1"/>
  <c r="T159" i="122"/>
  <c r="G155" i="122" s="1"/>
  <c r="S168" i="122"/>
  <c r="D167" i="122" s="1"/>
  <c r="D168" i="122" s="1"/>
  <c r="T168" i="122"/>
  <c r="G164" i="122" s="1"/>
  <c r="Y26" i="122" l="1"/>
  <c r="N24" i="122" s="1"/>
  <c r="D21" i="122" s="1"/>
  <c r="D190" i="122" s="1"/>
  <c r="Y25" i="122"/>
  <c r="N23" i="122" s="1"/>
  <c r="D25" i="122" l="1"/>
  <c r="D147" i="122" s="1"/>
  <c r="D70" i="122"/>
  <c r="D87" i="122"/>
  <c r="I87" i="122"/>
  <c r="N27" i="122"/>
  <c r="D22" i="122"/>
  <c r="D90" i="122" l="1"/>
  <c r="D14" i="122" s="1"/>
  <c r="D237" i="122" s="1"/>
  <c r="D245" i="122" s="1"/>
  <c r="D38" i="122"/>
  <c r="D106" i="122"/>
  <c r="D26" i="122"/>
  <c r="D191" i="122" s="1"/>
  <c r="I189" i="122" s="1"/>
  <c r="D146" i="122"/>
  <c r="I145" i="122" s="1"/>
  <c r="F38" i="103"/>
  <c r="D41" i="122" l="1"/>
  <c r="G41" i="122"/>
  <c r="F41" i="122"/>
  <c r="E245" i="122"/>
  <c r="G245" i="122"/>
  <c r="M147" i="122"/>
  <c r="S146" i="122" s="1"/>
  <c r="N147" i="122"/>
  <c r="M149" i="122"/>
  <c r="S147" i="122" s="1"/>
  <c r="P149" i="122"/>
  <c r="R149" i="122" s="1"/>
  <c r="N149" i="122"/>
  <c r="N191" i="122"/>
  <c r="M191" i="122"/>
  <c r="S190" i="122" s="1"/>
  <c r="N193" i="122"/>
  <c r="P193" i="122"/>
  <c r="R193" i="122" s="1"/>
  <c r="M193" i="122"/>
  <c r="S191" i="122" s="1"/>
  <c r="D158" i="107"/>
  <c r="D158" i="109"/>
  <c r="T149" i="122" l="1"/>
  <c r="G147" i="122" s="1"/>
  <c r="S149" i="122"/>
  <c r="D149" i="122" s="1"/>
  <c r="D150" i="122" s="1"/>
  <c r="D176" i="122" s="1"/>
  <c r="T193" i="122"/>
  <c r="G191" i="122" s="1"/>
  <c r="S193" i="122"/>
  <c r="D193" i="122" s="1"/>
  <c r="D194" i="122" s="1"/>
  <c r="D218" i="122" s="1"/>
  <c r="E39" i="122" s="1"/>
  <c r="E38" i="122" l="1"/>
  <c r="D181" i="122"/>
  <c r="E181" i="122" l="1"/>
  <c r="G181" i="122"/>
  <c r="D227" i="122"/>
  <c r="G38" i="122"/>
  <c r="F38" i="122"/>
  <c r="D211" i="119" l="1"/>
  <c r="E31" i="119"/>
  <c r="M164" i="119"/>
  <c r="E30" i="119"/>
  <c r="M146" i="119"/>
  <c r="D106" i="119"/>
  <c r="D105" i="119"/>
  <c r="D104" i="119"/>
  <c r="I113" i="119" s="1"/>
  <c r="D103" i="119"/>
  <c r="D102" i="119"/>
  <c r="O100" i="119"/>
  <c r="B96" i="119"/>
  <c r="R79" i="119"/>
  <c r="Q79" i="119" s="1"/>
  <c r="R78" i="119"/>
  <c r="Q78" i="119" s="1"/>
  <c r="R77" i="119"/>
  <c r="Q77" i="119" s="1"/>
  <c r="R76" i="119"/>
  <c r="Q76" i="119" s="1"/>
  <c r="R75" i="119"/>
  <c r="Q75" i="119" s="1"/>
  <c r="R74" i="119"/>
  <c r="Q74" i="119" s="1"/>
  <c r="D70" i="119"/>
  <c r="D69" i="119"/>
  <c r="O68" i="119"/>
  <c r="O67" i="119"/>
  <c r="D67" i="119"/>
  <c r="O66" i="119"/>
  <c r="D66" i="119"/>
  <c r="D68" i="119" s="1"/>
  <c r="O65" i="119"/>
  <c r="I66" i="119" s="1"/>
  <c r="E33" i="119"/>
  <c r="D195" i="119" s="1"/>
  <c r="F195" i="119" s="1"/>
  <c r="D26" i="119"/>
  <c r="D25" i="119"/>
  <c r="E13" i="119"/>
  <c r="O69" i="119" l="1"/>
  <c r="Q135" i="119"/>
  <c r="D134" i="119" s="1"/>
  <c r="M211" i="119"/>
  <c r="M212" i="119"/>
  <c r="D213" i="119" s="1"/>
  <c r="E34" i="119" s="1"/>
  <c r="E211" i="119"/>
  <c r="M103" i="119"/>
  <c r="C96" i="119" s="1"/>
  <c r="I68" i="119"/>
  <c r="O99" i="119"/>
  <c r="P98" i="119" s="1"/>
  <c r="O98" i="119" s="1"/>
  <c r="O102" i="119"/>
  <c r="Q120" i="119"/>
  <c r="I118" i="119" s="1"/>
  <c r="Q129" i="119"/>
  <c r="D128" i="119" s="1"/>
  <c r="Q114" i="119"/>
  <c r="D109" i="119" s="1"/>
  <c r="D78" i="119"/>
  <c r="D81" i="119"/>
  <c r="O101" i="119"/>
  <c r="Q131" i="119"/>
  <c r="I128" i="119" s="1"/>
  <c r="Q137" i="119"/>
  <c r="I134" i="119" s="1"/>
  <c r="D212" i="119"/>
  <c r="B95" i="119"/>
  <c r="M102" i="119"/>
  <c r="C95" i="119" s="1"/>
  <c r="E212" i="119"/>
  <c r="Q112" i="119"/>
  <c r="D107" i="119" s="1"/>
  <c r="Q118" i="119"/>
  <c r="D118" i="119" s="1"/>
  <c r="D113" i="119"/>
  <c r="I71" i="119" l="1"/>
  <c r="I78" i="119" s="1"/>
  <c r="D87" i="119"/>
  <c r="I81" i="119" l="1"/>
  <c r="D84" i="119" s="1"/>
  <c r="D145" i="119" s="1"/>
  <c r="I87" i="119"/>
  <c r="D90" i="119" s="1"/>
  <c r="D12" i="119" l="1"/>
  <c r="D157" i="119"/>
  <c r="D14" i="119"/>
  <c r="D30" i="119"/>
  <c r="D191" i="119" l="1"/>
  <c r="D199" i="119" s="1"/>
  <c r="D33" i="119"/>
  <c r="G30" i="119"/>
  <c r="F30" i="119"/>
  <c r="E157" i="119"/>
  <c r="G157" i="119"/>
  <c r="F33" i="119" l="1"/>
  <c r="G33" i="119"/>
  <c r="G199" i="119"/>
  <c r="E199" i="119"/>
  <c r="N9" i="119" l="1"/>
  <c r="O10" i="115"/>
  <c r="N10" i="122"/>
  <c r="O10" i="103"/>
  <c r="O10" i="112"/>
  <c r="O10" i="110"/>
  <c r="O10" i="87"/>
  <c r="O10" i="105"/>
  <c r="O10" i="108"/>
  <c r="O10" i="111"/>
  <c r="O10" i="107"/>
  <c r="O10" i="109"/>
  <c r="F11" i="104"/>
  <c r="F11" i="134" s="1"/>
  <c r="R54" i="134" l="1"/>
  <c r="Q56" i="134"/>
  <c r="R56" i="134" s="1"/>
  <c r="E64" i="134" s="1"/>
  <c r="D23" i="134" s="1"/>
  <c r="O9" i="115"/>
  <c r="N8" i="119"/>
  <c r="N9" i="122"/>
  <c r="O9" i="103"/>
  <c r="O9" i="109"/>
  <c r="O9" i="112"/>
  <c r="O9" i="110"/>
  <c r="O9" i="87"/>
  <c r="O9" i="105"/>
  <c r="O9" i="107"/>
  <c r="O9" i="108"/>
  <c r="O9" i="111"/>
  <c r="D36" i="103"/>
  <c r="D37" i="87"/>
  <c r="D36" i="107"/>
  <c r="D37" i="105"/>
  <c r="D36" i="109"/>
  <c r="Q23" i="134" l="1"/>
  <c r="Q25" i="134"/>
  <c r="Q26" i="134"/>
  <c r="Q24" i="134"/>
  <c r="D37" i="108"/>
  <c r="I25" i="134" l="1"/>
  <c r="T25" i="134"/>
  <c r="I24" i="134"/>
  <c r="T24" i="134"/>
  <c r="I26" i="134"/>
  <c r="T26" i="134"/>
  <c r="T23" i="134"/>
  <c r="I23" i="134"/>
  <c r="O18" i="104"/>
  <c r="J58" i="134" l="1"/>
  <c r="T8" i="104"/>
  <c r="O8" i="115" l="1"/>
  <c r="N7" i="119"/>
  <c r="N8" i="122"/>
  <c r="O8" i="103"/>
  <c r="O8" i="112"/>
  <c r="O8" i="110"/>
  <c r="O8" i="87"/>
  <c r="O8" i="105"/>
  <c r="O8" i="108"/>
  <c r="O8" i="111"/>
  <c r="O8" i="107"/>
  <c r="O8" i="109"/>
  <c r="J111" i="115"/>
  <c r="D77" i="115"/>
  <c r="D74" i="115"/>
  <c r="D73" i="115"/>
  <c r="D131" i="115"/>
  <c r="E131" i="115" s="1"/>
  <c r="F114" i="115"/>
  <c r="J112" i="115"/>
  <c r="J113" i="115" s="1"/>
  <c r="E104" i="115"/>
  <c r="P42" i="115"/>
  <c r="D40" i="115"/>
  <c r="P40" i="115" s="1"/>
  <c r="B33" i="115"/>
  <c r="D126" i="112"/>
  <c r="E127" i="112" s="1"/>
  <c r="D77" i="112"/>
  <c r="D74" i="112"/>
  <c r="D73" i="112"/>
  <c r="E126" i="112"/>
  <c r="N127" i="112"/>
  <c r="D128" i="112" s="1"/>
  <c r="D17" i="112" s="1"/>
  <c r="E109" i="112"/>
  <c r="E106" i="112"/>
  <c r="D42" i="112"/>
  <c r="D41" i="112"/>
  <c r="P42" i="112" s="1"/>
  <c r="B35" i="112"/>
  <c r="J111" i="111"/>
  <c r="J112" i="111"/>
  <c r="J113" i="111" s="1"/>
  <c r="B33" i="111"/>
  <c r="P42" i="111"/>
  <c r="D40" i="111"/>
  <c r="P40" i="111" s="1"/>
  <c r="D131" i="111"/>
  <c r="E131" i="111" s="1"/>
  <c r="D70" i="111"/>
  <c r="D69" i="111"/>
  <c r="D72" i="111"/>
  <c r="D72" i="110"/>
  <c r="B35" i="110"/>
  <c r="D42" i="110"/>
  <c r="P44" i="110" s="1"/>
  <c r="D41" i="110"/>
  <c r="P42" i="110" s="1"/>
  <c r="D126" i="110"/>
  <c r="N127" i="110" s="1"/>
  <c r="D70" i="110"/>
  <c r="D69" i="110"/>
  <c r="D175" i="109"/>
  <c r="E175" i="109" s="1"/>
  <c r="D97" i="109"/>
  <c r="D70" i="109"/>
  <c r="D69" i="109"/>
  <c r="U116" i="109"/>
  <c r="U115" i="109"/>
  <c r="U114" i="109"/>
  <c r="U108" i="109"/>
  <c r="U107" i="109"/>
  <c r="U106" i="109"/>
  <c r="U99" i="109"/>
  <c r="U98" i="109"/>
  <c r="U97" i="109"/>
  <c r="O93" i="109"/>
  <c r="R107" i="109" s="1"/>
  <c r="R42" i="109"/>
  <c r="D115" i="109" s="1"/>
  <c r="F43" i="109"/>
  <c r="R41" i="109"/>
  <c r="D107" i="109" s="1"/>
  <c r="F42" i="109"/>
  <c r="R40" i="109"/>
  <c r="D114" i="109" s="1"/>
  <c r="D39" i="109"/>
  <c r="F38" i="109"/>
  <c r="F40" i="109" s="1"/>
  <c r="D38" i="109"/>
  <c r="D37" i="109"/>
  <c r="R35" i="109"/>
  <c r="O35" i="109"/>
  <c r="D35" i="109"/>
  <c r="R34" i="109"/>
  <c r="D34" i="109"/>
  <c r="O29" i="109"/>
  <c r="R39" i="109" s="1"/>
  <c r="D106" i="109" s="1"/>
  <c r="O28" i="109"/>
  <c r="D33" i="109" s="1"/>
  <c r="X35" i="109"/>
  <c r="V35" i="109"/>
  <c r="X34" i="109"/>
  <c r="V34" i="109"/>
  <c r="V33" i="109"/>
  <c r="D6" i="109"/>
  <c r="D72" i="109" s="1"/>
  <c r="R42" i="103"/>
  <c r="R41" i="103"/>
  <c r="R40" i="103"/>
  <c r="R43" i="105"/>
  <c r="R42" i="105"/>
  <c r="R41" i="105"/>
  <c r="R42" i="107"/>
  <c r="D115" i="107" s="1"/>
  <c r="R41" i="107"/>
  <c r="D107" i="107" s="1"/>
  <c r="R40" i="107"/>
  <c r="D114" i="107" s="1"/>
  <c r="R43" i="108"/>
  <c r="D115" i="108" s="1"/>
  <c r="R42" i="108"/>
  <c r="D107" i="108" s="1"/>
  <c r="R41" i="108"/>
  <c r="D114" i="108" s="1"/>
  <c r="D70" i="108"/>
  <c r="D69" i="108"/>
  <c r="D148" i="108"/>
  <c r="E148" i="108" s="1"/>
  <c r="U116" i="108"/>
  <c r="U115" i="108"/>
  <c r="U114" i="108"/>
  <c r="U108" i="108"/>
  <c r="U107" i="108"/>
  <c r="U106" i="108"/>
  <c r="U99" i="108"/>
  <c r="U98" i="108"/>
  <c r="U97" i="108"/>
  <c r="D97" i="108"/>
  <c r="O93" i="108"/>
  <c r="Q115" i="108" s="1"/>
  <c r="D40" i="108"/>
  <c r="D39" i="108"/>
  <c r="D38" i="108"/>
  <c r="R36" i="108"/>
  <c r="O36" i="108"/>
  <c r="O45" i="108" s="1"/>
  <c r="D45" i="108" s="1"/>
  <c r="D100" i="108" s="1"/>
  <c r="D36" i="108"/>
  <c r="R35" i="108"/>
  <c r="D35" i="108"/>
  <c r="O30" i="108"/>
  <c r="R40" i="108" s="1"/>
  <c r="D106" i="108" s="1"/>
  <c r="O29" i="108"/>
  <c r="D34" i="108" s="1"/>
  <c r="X36" i="108"/>
  <c r="V36" i="108"/>
  <c r="V22" i="108" s="1"/>
  <c r="X35" i="108"/>
  <c r="V35" i="108"/>
  <c r="V34" i="108"/>
  <c r="D6" i="108"/>
  <c r="D72" i="108" s="1"/>
  <c r="D97" i="107"/>
  <c r="D175" i="107"/>
  <c r="D176" i="107" s="1"/>
  <c r="D74" i="107"/>
  <c r="D73" i="107"/>
  <c r="D6" i="107"/>
  <c r="D77" i="107" s="1"/>
  <c r="D39" i="107"/>
  <c r="D38" i="107"/>
  <c r="D37" i="107"/>
  <c r="D35" i="107"/>
  <c r="D34" i="107"/>
  <c r="E154" i="107"/>
  <c r="U116" i="107"/>
  <c r="U115" i="107"/>
  <c r="U114" i="107"/>
  <c r="U108" i="107"/>
  <c r="U107" i="107"/>
  <c r="U106" i="107"/>
  <c r="U99" i="107"/>
  <c r="U98" i="107"/>
  <c r="U97" i="107"/>
  <c r="O93" i="107"/>
  <c r="R107" i="107" s="1"/>
  <c r="F43" i="107"/>
  <c r="F42" i="107"/>
  <c r="F38" i="107"/>
  <c r="F41" i="107" s="1"/>
  <c r="R35" i="107"/>
  <c r="O35" i="107"/>
  <c r="R34" i="107"/>
  <c r="O29" i="107"/>
  <c r="X34" i="107" s="1"/>
  <c r="O28" i="107"/>
  <c r="D33" i="107" s="1"/>
  <c r="X36" i="107"/>
  <c r="X22" i="107" s="1"/>
  <c r="V36" i="107"/>
  <c r="X35" i="107"/>
  <c r="V35" i="107"/>
  <c r="V34" i="107"/>
  <c r="D148" i="105"/>
  <c r="N148" i="105" s="1"/>
  <c r="X33" i="109" l="1"/>
  <c r="Z25" i="109" s="1"/>
  <c r="V25" i="108"/>
  <c r="D43" i="112"/>
  <c r="D44" i="112" s="1"/>
  <c r="D97" i="112" s="1"/>
  <c r="V22" i="107"/>
  <c r="V25" i="109"/>
  <c r="X25" i="108"/>
  <c r="V23" i="109"/>
  <c r="X26" i="107"/>
  <c r="R115" i="108"/>
  <c r="X24" i="108"/>
  <c r="R98" i="108"/>
  <c r="V24" i="107"/>
  <c r="D112" i="111"/>
  <c r="D115" i="111" s="1"/>
  <c r="O44" i="107"/>
  <c r="D45" i="107" s="1"/>
  <c r="D100" i="107" s="1"/>
  <c r="Q98" i="108"/>
  <c r="O44" i="109"/>
  <c r="D45" i="109" s="1"/>
  <c r="D100" i="109" s="1"/>
  <c r="N149" i="105"/>
  <c r="D150" i="105" s="1"/>
  <c r="E176" i="107"/>
  <c r="Z24" i="109"/>
  <c r="E176" i="109"/>
  <c r="D41" i="115"/>
  <c r="D42" i="115" s="1"/>
  <c r="V21" i="109"/>
  <c r="E148" i="105"/>
  <c r="D127" i="112"/>
  <c r="X21" i="109"/>
  <c r="E149" i="105"/>
  <c r="N176" i="107"/>
  <c r="D177" i="107" s="1"/>
  <c r="D17" i="107" s="1"/>
  <c r="D112" i="115"/>
  <c r="D115" i="115" s="1"/>
  <c r="X26" i="108"/>
  <c r="D149" i="105"/>
  <c r="E175" i="107"/>
  <c r="X23" i="108"/>
  <c r="Q107" i="108"/>
  <c r="X23" i="109"/>
  <c r="N175" i="107"/>
  <c r="R107" i="108"/>
  <c r="R39" i="107"/>
  <c r="D106" i="107" s="1"/>
  <c r="D108" i="107" s="1"/>
  <c r="N108" i="107" s="1"/>
  <c r="T107" i="107" s="1"/>
  <c r="Z23" i="109"/>
  <c r="F41" i="109"/>
  <c r="X34" i="108"/>
  <c r="V24" i="108" s="1"/>
  <c r="F40" i="107"/>
  <c r="F44" i="107" s="1"/>
  <c r="D145" i="107" s="1"/>
  <c r="D116" i="108"/>
  <c r="O118" i="108" s="1"/>
  <c r="N131" i="115"/>
  <c r="D132" i="115"/>
  <c r="E132" i="115"/>
  <c r="N132" i="115"/>
  <c r="D133" i="115" s="1"/>
  <c r="D17" i="115" s="1"/>
  <c r="P44" i="115"/>
  <c r="P40" i="112"/>
  <c r="P44" i="112"/>
  <c r="N126" i="112"/>
  <c r="P44" i="111"/>
  <c r="D41" i="111"/>
  <c r="D39" i="111" s="1"/>
  <c r="N131" i="111"/>
  <c r="E132" i="111"/>
  <c r="D132" i="111"/>
  <c r="N132" i="111"/>
  <c r="P40" i="110"/>
  <c r="E126" i="110"/>
  <c r="D127" i="110"/>
  <c r="E127" i="110"/>
  <c r="D43" i="110"/>
  <c r="F44" i="109"/>
  <c r="D145" i="109" s="1"/>
  <c r="N126" i="110"/>
  <c r="D128" i="110" s="1"/>
  <c r="D17" i="110" s="1"/>
  <c r="D108" i="109"/>
  <c r="Q110" i="109" s="1"/>
  <c r="D116" i="109"/>
  <c r="O116" i="109" s="1"/>
  <c r="N175" i="109"/>
  <c r="D176" i="109"/>
  <c r="N176" i="109"/>
  <c r="X25" i="109"/>
  <c r="T114" i="109"/>
  <c r="V24" i="109"/>
  <c r="T97" i="109"/>
  <c r="T106" i="109"/>
  <c r="Q98" i="109"/>
  <c r="Q107" i="109"/>
  <c r="X22" i="109"/>
  <c r="X24" i="109"/>
  <c r="Q115" i="109"/>
  <c r="R115" i="109"/>
  <c r="R98" i="109"/>
  <c r="Z25" i="108"/>
  <c r="N149" i="108"/>
  <c r="E149" i="108"/>
  <c r="D149" i="108"/>
  <c r="N148" i="108"/>
  <c r="V26" i="108"/>
  <c r="D108" i="108"/>
  <c r="T114" i="108"/>
  <c r="T97" i="108"/>
  <c r="T106" i="108"/>
  <c r="X22" i="108"/>
  <c r="X23" i="107"/>
  <c r="Z24" i="107"/>
  <c r="Q115" i="107"/>
  <c r="V26" i="107"/>
  <c r="D116" i="107"/>
  <c r="V25" i="107"/>
  <c r="V23" i="107"/>
  <c r="Z26" i="107"/>
  <c r="T114" i="107"/>
  <c r="X25" i="107"/>
  <c r="Z23" i="107"/>
  <c r="Z25" i="107"/>
  <c r="T97" i="107"/>
  <c r="T106" i="107"/>
  <c r="R115" i="107"/>
  <c r="X24" i="107"/>
  <c r="Q98" i="107"/>
  <c r="Q107" i="107"/>
  <c r="Z22" i="107"/>
  <c r="R98" i="107"/>
  <c r="Z22" i="109" l="1"/>
  <c r="V22" i="109"/>
  <c r="Z21" i="109"/>
  <c r="D150" i="108"/>
  <c r="D17" i="108" s="1"/>
  <c r="D133" i="111"/>
  <c r="D17" i="111" s="1"/>
  <c r="D78" i="112"/>
  <c r="D76" i="112" s="1"/>
  <c r="D177" i="109"/>
  <c r="D17" i="109" s="1"/>
  <c r="D39" i="115"/>
  <c r="D43" i="115" s="1"/>
  <c r="D78" i="115" s="1"/>
  <c r="D76" i="115" s="1"/>
  <c r="S110" i="109"/>
  <c r="U110" i="109" s="1"/>
  <c r="G106" i="109" s="1"/>
  <c r="O108" i="109"/>
  <c r="O116" i="108"/>
  <c r="N116" i="108"/>
  <c r="T115" i="108" s="1"/>
  <c r="Q118" i="108"/>
  <c r="S118" i="108" s="1"/>
  <c r="U118" i="108" s="1"/>
  <c r="G114" i="108" s="1"/>
  <c r="Z23" i="108"/>
  <c r="Z24" i="108"/>
  <c r="V23" i="108"/>
  <c r="Z28" i="108" s="1"/>
  <c r="Z30" i="108" s="1"/>
  <c r="O34" i="108" s="1"/>
  <c r="O43" i="108" s="1"/>
  <c r="Z26" i="108"/>
  <c r="Z22" i="108"/>
  <c r="N118" i="108"/>
  <c r="T116" i="108" s="1"/>
  <c r="O118" i="109"/>
  <c r="N110" i="109"/>
  <c r="T108" i="109" s="1"/>
  <c r="N116" i="109"/>
  <c r="T115" i="109" s="1"/>
  <c r="Q118" i="109"/>
  <c r="S118" i="109" s="1"/>
  <c r="O110" i="109"/>
  <c r="N118" i="109"/>
  <c r="T116" i="109" s="1"/>
  <c r="N108" i="109"/>
  <c r="T107" i="109" s="1"/>
  <c r="D42" i="111"/>
  <c r="D43" i="111" s="1"/>
  <c r="D44" i="111" s="1"/>
  <c r="D97" i="111" s="1"/>
  <c r="D44" i="110"/>
  <c r="D97" i="110" s="1"/>
  <c r="D73" i="110"/>
  <c r="Q110" i="107"/>
  <c r="S110" i="107" s="1"/>
  <c r="Z27" i="109"/>
  <c r="Z29" i="109" s="1"/>
  <c r="V31" i="109" s="1"/>
  <c r="O108" i="108"/>
  <c r="Q110" i="108"/>
  <c r="S110" i="108" s="1"/>
  <c r="N108" i="108"/>
  <c r="T107" i="108" s="1"/>
  <c r="O110" i="108"/>
  <c r="N110" i="108"/>
  <c r="T108" i="108" s="1"/>
  <c r="Z28" i="107"/>
  <c r="Z30" i="107" s="1"/>
  <c r="V32" i="107" s="1"/>
  <c r="O108" i="107"/>
  <c r="N110" i="107"/>
  <c r="T108" i="107" s="1"/>
  <c r="O110" i="107"/>
  <c r="Z29" i="107"/>
  <c r="Z31" i="107" s="1"/>
  <c r="X32" i="107" s="1"/>
  <c r="N118" i="107"/>
  <c r="T116" i="107" s="1"/>
  <c r="Q118" i="107"/>
  <c r="S118" i="107" s="1"/>
  <c r="N116" i="107"/>
  <c r="T115" i="107" s="1"/>
  <c r="O118" i="107"/>
  <c r="O116" i="107"/>
  <c r="Z28" i="109" l="1"/>
  <c r="Z30" i="109" s="1"/>
  <c r="X29" i="109" s="1"/>
  <c r="X27" i="109"/>
  <c r="X30" i="109"/>
  <c r="X28" i="109"/>
  <c r="X31" i="109"/>
  <c r="D44" i="115"/>
  <c r="D97" i="115" s="1"/>
  <c r="T110" i="109"/>
  <c r="D109" i="109" s="1"/>
  <c r="D110" i="109" s="1"/>
  <c r="V28" i="107"/>
  <c r="V30" i="107"/>
  <c r="X29" i="107"/>
  <c r="V29" i="107"/>
  <c r="T118" i="108"/>
  <c r="D117" i="108" s="1"/>
  <c r="D118" i="108" s="1"/>
  <c r="Z29" i="108"/>
  <c r="Z31" i="108" s="1"/>
  <c r="X31" i="108" s="1"/>
  <c r="V32" i="108"/>
  <c r="V29" i="108"/>
  <c r="V30" i="108"/>
  <c r="V31" i="108"/>
  <c r="V28" i="108"/>
  <c r="D73" i="111"/>
  <c r="O33" i="109"/>
  <c r="O42" i="109" s="1"/>
  <c r="D43" i="109" s="1"/>
  <c r="V29" i="109"/>
  <c r="V27" i="109"/>
  <c r="V28" i="109"/>
  <c r="U118" i="109"/>
  <c r="G114" i="109" s="1"/>
  <c r="T118" i="109"/>
  <c r="D117" i="109" s="1"/>
  <c r="D118" i="109" s="1"/>
  <c r="V30" i="109"/>
  <c r="U110" i="108"/>
  <c r="G106" i="108" s="1"/>
  <c r="T110" i="108"/>
  <c r="D109" i="108" s="1"/>
  <c r="D110" i="108" s="1"/>
  <c r="O33" i="107"/>
  <c r="O42" i="107" s="1"/>
  <c r="D43" i="107" s="1"/>
  <c r="X28" i="107"/>
  <c r="V31" i="107"/>
  <c r="X31" i="107"/>
  <c r="U118" i="107"/>
  <c r="G114" i="107" s="1"/>
  <c r="T118" i="107"/>
  <c r="D117" i="107" s="1"/>
  <c r="D118" i="107" s="1"/>
  <c r="T110" i="107"/>
  <c r="D109" i="107" s="1"/>
  <c r="D110" i="107" s="1"/>
  <c r="U110" i="107"/>
  <c r="G106" i="107" s="1"/>
  <c r="O32" i="107"/>
  <c r="O41" i="107" s="1"/>
  <c r="D42" i="107" s="1"/>
  <c r="X30" i="107"/>
  <c r="O32" i="109" l="1"/>
  <c r="O41" i="109" s="1"/>
  <c r="D42" i="109" s="1"/>
  <c r="Z32" i="109"/>
  <c r="O31" i="109" s="1"/>
  <c r="O40" i="109" s="1"/>
  <c r="D41" i="109" s="1"/>
  <c r="D98" i="109" s="1"/>
  <c r="Z32" i="107"/>
  <c r="O30" i="107" s="1"/>
  <c r="O34" i="107" s="1"/>
  <c r="O43" i="107" s="1"/>
  <c r="D44" i="107" s="1"/>
  <c r="D99" i="107" s="1"/>
  <c r="X28" i="108"/>
  <c r="Z33" i="107"/>
  <c r="O31" i="107" s="1"/>
  <c r="O40" i="107" s="1"/>
  <c r="D41" i="107" s="1"/>
  <c r="D98" i="107" s="1"/>
  <c r="O33" i="108"/>
  <c r="O42" i="108" s="1"/>
  <c r="D43" i="108" s="1"/>
  <c r="X30" i="108"/>
  <c r="X29" i="108"/>
  <c r="X32" i="108"/>
  <c r="Z32" i="108"/>
  <c r="O31" i="108" s="1"/>
  <c r="Z31" i="109"/>
  <c r="O30" i="109" s="1"/>
  <c r="J41" i="109" l="1"/>
  <c r="O39" i="107"/>
  <c r="D40" i="107" s="1"/>
  <c r="J40" i="107" s="1"/>
  <c r="Z33" i="108"/>
  <c r="O32" i="108" s="1"/>
  <c r="O41" i="108" s="1"/>
  <c r="D42" i="108" s="1"/>
  <c r="D98" i="108" s="1"/>
  <c r="J41" i="107"/>
  <c r="O40" i="108"/>
  <c r="D41" i="108" s="1"/>
  <c r="D73" i="108" s="1"/>
  <c r="O35" i="108"/>
  <c r="O44" i="108" s="1"/>
  <c r="D44" i="108" s="1"/>
  <c r="D99" i="108" s="1"/>
  <c r="I97" i="107"/>
  <c r="Q101" i="107" s="1"/>
  <c r="S101" i="107" s="1"/>
  <c r="O39" i="109"/>
  <c r="D40" i="109" s="1"/>
  <c r="O34" i="109"/>
  <c r="O43" i="109" s="1"/>
  <c r="D44" i="109" s="1"/>
  <c r="D99" i="109" s="1"/>
  <c r="I97" i="109" s="1"/>
  <c r="I97" i="108" l="1"/>
  <c r="O101" i="108" s="1"/>
  <c r="O101" i="107"/>
  <c r="N101" i="107"/>
  <c r="T99" i="107" s="1"/>
  <c r="N99" i="107"/>
  <c r="T98" i="107" s="1"/>
  <c r="T101" i="107" s="1"/>
  <c r="D101" i="107" s="1"/>
  <c r="D102" i="107" s="1"/>
  <c r="D125" i="107" s="1"/>
  <c r="O99" i="107"/>
  <c r="O99" i="109"/>
  <c r="Q101" i="109"/>
  <c r="S101" i="109" s="1"/>
  <c r="N99" i="109"/>
  <c r="T98" i="109" s="1"/>
  <c r="O101" i="109"/>
  <c r="N101" i="109"/>
  <c r="T99" i="109" s="1"/>
  <c r="J40" i="109"/>
  <c r="D73" i="109" s="1"/>
  <c r="J43" i="107"/>
  <c r="J44" i="107" s="1"/>
  <c r="D78" i="107"/>
  <c r="D76" i="107" s="1"/>
  <c r="U101" i="107"/>
  <c r="G99" i="107" s="1"/>
  <c r="J43" i="109" l="1"/>
  <c r="N99" i="108"/>
  <c r="T98" i="108" s="1"/>
  <c r="Q101" i="108"/>
  <c r="S101" i="108" s="1"/>
  <c r="U101" i="108" s="1"/>
  <c r="G99" i="108" s="1"/>
  <c r="O99" i="108"/>
  <c r="N101" i="108"/>
  <c r="T99" i="108" s="1"/>
  <c r="J44" i="109"/>
  <c r="U101" i="109"/>
  <c r="G99" i="109" s="1"/>
  <c r="T101" i="109"/>
  <c r="D101" i="109" s="1"/>
  <c r="D102" i="109" s="1"/>
  <c r="D125" i="109" s="1"/>
  <c r="T101" i="108" l="1"/>
  <c r="D101" i="108" s="1"/>
  <c r="D102" i="108" s="1"/>
  <c r="D125" i="108" s="1"/>
  <c r="D74" i="105"/>
  <c r="D73" i="105"/>
  <c r="U116" i="105"/>
  <c r="U115" i="105"/>
  <c r="D115" i="105"/>
  <c r="U114" i="105"/>
  <c r="U108" i="105"/>
  <c r="U107" i="105"/>
  <c r="D107" i="105"/>
  <c r="U106" i="105"/>
  <c r="U99" i="105"/>
  <c r="U98" i="105"/>
  <c r="U97" i="105"/>
  <c r="D97" i="105"/>
  <c r="O93" i="105"/>
  <c r="R98" i="105" s="1"/>
  <c r="D114" i="105"/>
  <c r="D40" i="105"/>
  <c r="D39" i="105"/>
  <c r="D38" i="105"/>
  <c r="R36" i="105"/>
  <c r="O36" i="105"/>
  <c r="O45" i="105" s="1"/>
  <c r="D45" i="105" s="1"/>
  <c r="D100" i="105" s="1"/>
  <c r="D36" i="105"/>
  <c r="R35" i="105"/>
  <c r="D35" i="105"/>
  <c r="O30" i="105"/>
  <c r="O29" i="105"/>
  <c r="D34" i="105" s="1"/>
  <c r="X37" i="105"/>
  <c r="V37" i="105"/>
  <c r="X36" i="105"/>
  <c r="V36" i="105"/>
  <c r="V35" i="105"/>
  <c r="D6" i="105"/>
  <c r="D77" i="105" s="1"/>
  <c r="X24" i="105" l="1"/>
  <c r="R40" i="105"/>
  <c r="D106" i="105" s="1"/>
  <c r="D108" i="105" s="1"/>
  <c r="O110" i="105" s="1"/>
  <c r="V27" i="105"/>
  <c r="X23" i="105"/>
  <c r="Z26" i="105"/>
  <c r="X26" i="105"/>
  <c r="T106" i="105"/>
  <c r="Q115" i="105"/>
  <c r="T97" i="105"/>
  <c r="R107" i="105"/>
  <c r="X27" i="105"/>
  <c r="D116" i="105"/>
  <c r="N118" i="105" s="1"/>
  <c r="T116" i="105" s="1"/>
  <c r="V23" i="105"/>
  <c r="T114" i="105"/>
  <c r="X25" i="105"/>
  <c r="X35" i="105"/>
  <c r="V26" i="105"/>
  <c r="R115" i="105"/>
  <c r="Q98" i="105"/>
  <c r="Q107" i="105"/>
  <c r="O116" i="105" l="1"/>
  <c r="Q110" i="105"/>
  <c r="S110" i="105" s="1"/>
  <c r="O108" i="105"/>
  <c r="N108" i="105"/>
  <c r="T107" i="105" s="1"/>
  <c r="N110" i="105"/>
  <c r="T108" i="105" s="1"/>
  <c r="O118" i="105"/>
  <c r="D17" i="105"/>
  <c r="N116" i="105"/>
  <c r="T115" i="105" s="1"/>
  <c r="Q118" i="105"/>
  <c r="S118" i="105" s="1"/>
  <c r="Z27" i="105"/>
  <c r="V24" i="105"/>
  <c r="Z24" i="105"/>
  <c r="V25" i="105"/>
  <c r="Z25" i="105"/>
  <c r="Z23" i="105"/>
  <c r="Z29" i="105" l="1"/>
  <c r="Z31" i="105" s="1"/>
  <c r="V33" i="105" s="1"/>
  <c r="Z30" i="105"/>
  <c r="Z32" i="105" s="1"/>
  <c r="X31" i="105" s="1"/>
  <c r="V30" i="105"/>
  <c r="U118" i="105"/>
  <c r="G114" i="105" s="1"/>
  <c r="T118" i="105"/>
  <c r="D117" i="105" s="1"/>
  <c r="D118" i="105" s="1"/>
  <c r="U110" i="105"/>
  <c r="G106" i="105" s="1"/>
  <c r="T110" i="105"/>
  <c r="D109" i="105" s="1"/>
  <c r="D110" i="105" s="1"/>
  <c r="X33" i="105"/>
  <c r="X30" i="105"/>
  <c r="F42" i="103"/>
  <c r="D267" i="103"/>
  <c r="U208" i="103"/>
  <c r="U207" i="103"/>
  <c r="U206" i="103"/>
  <c r="U200" i="103"/>
  <c r="U199" i="103"/>
  <c r="U198" i="103"/>
  <c r="U191" i="103"/>
  <c r="U190" i="103"/>
  <c r="U189" i="103"/>
  <c r="D189" i="103"/>
  <c r="O185" i="103"/>
  <c r="D114" i="103"/>
  <c r="D72" i="103"/>
  <c r="D163" i="103" s="1"/>
  <c r="D207" i="103"/>
  <c r="D199" i="103"/>
  <c r="D206" i="103"/>
  <c r="D39" i="103"/>
  <c r="D38" i="103"/>
  <c r="D37" i="103"/>
  <c r="R35" i="103"/>
  <c r="O35" i="103"/>
  <c r="D35" i="103"/>
  <c r="R34" i="103"/>
  <c r="D34" i="103"/>
  <c r="O29" i="103"/>
  <c r="O28" i="103"/>
  <c r="D33" i="103" s="1"/>
  <c r="X36" i="103"/>
  <c r="V36" i="103"/>
  <c r="X35" i="103"/>
  <c r="V35" i="103"/>
  <c r="Z25" i="103" s="1"/>
  <c r="V34" i="103"/>
  <c r="D11" i="103"/>
  <c r="D113" i="103" s="1"/>
  <c r="D6" i="103"/>
  <c r="D75" i="103" s="1"/>
  <c r="D167" i="103" s="1"/>
  <c r="D240" i="87"/>
  <c r="E240" i="87" s="1"/>
  <c r="D6" i="87"/>
  <c r="D75" i="87" s="1"/>
  <c r="R39" i="103" l="1"/>
  <c r="D198" i="103" s="1"/>
  <c r="D200" i="103" s="1"/>
  <c r="O200" i="103" s="1"/>
  <c r="V31" i="105"/>
  <c r="O34" i="105"/>
  <c r="O43" i="105" s="1"/>
  <c r="V32" i="105"/>
  <c r="V29" i="105"/>
  <c r="X29" i="105"/>
  <c r="Z34" i="105" s="1"/>
  <c r="O32" i="105" s="1"/>
  <c r="O41" i="105" s="1"/>
  <c r="D42" i="105" s="1"/>
  <c r="D98" i="105" s="1"/>
  <c r="X32" i="105"/>
  <c r="X26" i="103"/>
  <c r="O33" i="105"/>
  <c r="O42" i="105" s="1"/>
  <c r="D43" i="105" s="1"/>
  <c r="E241" i="87"/>
  <c r="N240" i="87"/>
  <c r="F40" i="103"/>
  <c r="F44" i="103" s="1"/>
  <c r="D237" i="103" s="1"/>
  <c r="F41" i="103"/>
  <c r="V25" i="103"/>
  <c r="V22" i="103"/>
  <c r="X22" i="103"/>
  <c r="X23" i="103"/>
  <c r="O44" i="103"/>
  <c r="D45" i="103" s="1"/>
  <c r="D192" i="103" s="1"/>
  <c r="X34" i="103"/>
  <c r="Z24" i="103" s="1"/>
  <c r="D208" i="103"/>
  <c r="O210" i="103" s="1"/>
  <c r="V26" i="103"/>
  <c r="X24" i="103"/>
  <c r="X25" i="103"/>
  <c r="D71" i="103"/>
  <c r="Q190" i="103"/>
  <c r="Q199" i="103"/>
  <c r="E267" i="103"/>
  <c r="N268" i="103"/>
  <c r="T206" i="103"/>
  <c r="R207" i="103"/>
  <c r="E268" i="103"/>
  <c r="Q207" i="103"/>
  <c r="D268" i="103"/>
  <c r="T189" i="103"/>
  <c r="R190" i="103"/>
  <c r="T198" i="103"/>
  <c r="R199" i="103"/>
  <c r="N267" i="103"/>
  <c r="Z33" i="105" l="1"/>
  <c r="O31" i="105" s="1"/>
  <c r="O40" i="105" s="1"/>
  <c r="D41" i="105" s="1"/>
  <c r="D78" i="105" s="1"/>
  <c r="D269" i="103"/>
  <c r="D17" i="103" s="1"/>
  <c r="Z26" i="103"/>
  <c r="N210" i="103"/>
  <c r="T208" i="103" s="1"/>
  <c r="N202" i="103"/>
  <c r="T200" i="103" s="1"/>
  <c r="O202" i="103"/>
  <c r="Q202" i="103"/>
  <c r="S202" i="103" s="1"/>
  <c r="N200" i="103"/>
  <c r="T199" i="103" s="1"/>
  <c r="O208" i="103"/>
  <c r="Q210" i="103"/>
  <c r="S210" i="103" s="1"/>
  <c r="N208" i="103"/>
  <c r="T207" i="103" s="1"/>
  <c r="V24" i="103"/>
  <c r="V23" i="103"/>
  <c r="Z22" i="103"/>
  <c r="Z23" i="103"/>
  <c r="D162" i="103"/>
  <c r="D73" i="103"/>
  <c r="O35" i="105" l="1"/>
  <c r="O44" i="105" s="1"/>
  <c r="D44" i="105" s="1"/>
  <c r="D99" i="105" s="1"/>
  <c r="I97" i="105" s="1"/>
  <c r="O99" i="105" s="1"/>
  <c r="D76" i="105"/>
  <c r="Z28" i="103"/>
  <c r="Z30" i="103" s="1"/>
  <c r="V30" i="103" s="1"/>
  <c r="Z29" i="103"/>
  <c r="Z31" i="103" s="1"/>
  <c r="O32" i="103" s="1"/>
  <c r="O41" i="103" s="1"/>
  <c r="D42" i="103" s="1"/>
  <c r="T210" i="103"/>
  <c r="D209" i="103" s="1"/>
  <c r="D210" i="103" s="1"/>
  <c r="U210" i="103"/>
  <c r="G206" i="103" s="1"/>
  <c r="D164" i="103"/>
  <c r="T202" i="103"/>
  <c r="D201" i="103" s="1"/>
  <c r="D202" i="103" s="1"/>
  <c r="U202" i="103"/>
  <c r="G198" i="103" s="1"/>
  <c r="O101" i="105" l="1"/>
  <c r="N101" i="105"/>
  <c r="T99" i="105" s="1"/>
  <c r="Q101" i="105"/>
  <c r="S101" i="105" s="1"/>
  <c r="N99" i="105"/>
  <c r="T98" i="105" s="1"/>
  <c r="X31" i="103"/>
  <c r="X32" i="103"/>
  <c r="V29" i="103"/>
  <c r="V28" i="103"/>
  <c r="X29" i="103"/>
  <c r="O33" i="103"/>
  <c r="O42" i="103" s="1"/>
  <c r="D43" i="103" s="1"/>
  <c r="V32" i="103"/>
  <c r="X30" i="103"/>
  <c r="V31" i="103"/>
  <c r="X28" i="103"/>
  <c r="T101" i="105" l="1"/>
  <c r="D101" i="105" s="1"/>
  <c r="D102" i="105" s="1"/>
  <c r="D125" i="105" s="1"/>
  <c r="U101" i="105"/>
  <c r="G99" i="105" s="1"/>
  <c r="Z32" i="103"/>
  <c r="O30" i="103" s="1"/>
  <c r="O34" i="103" s="1"/>
  <c r="O43" i="103" s="1"/>
  <c r="Z33" i="103"/>
  <c r="O31" i="103" s="1"/>
  <c r="O40" i="103" s="1"/>
  <c r="D41" i="103" s="1"/>
  <c r="D190" i="103" s="1"/>
  <c r="O39" i="103" l="1"/>
  <c r="D40" i="103" s="1"/>
  <c r="J40" i="103" s="1"/>
  <c r="D44" i="103"/>
  <c r="D191" i="103" s="1"/>
  <c r="I189" i="103" s="1"/>
  <c r="J41" i="103"/>
  <c r="O193" i="103" l="1"/>
  <c r="Q193" i="103"/>
  <c r="S193" i="103" s="1"/>
  <c r="U193" i="103" s="1"/>
  <c r="G191" i="103" s="1"/>
  <c r="N193" i="103"/>
  <c r="T191" i="103" s="1"/>
  <c r="N191" i="103"/>
  <c r="T190" i="103" s="1"/>
  <c r="O191" i="103"/>
  <c r="J43" i="103"/>
  <c r="D76" i="103"/>
  <c r="T193" i="103" l="1"/>
  <c r="D193" i="103" s="1"/>
  <c r="D194" i="103" s="1"/>
  <c r="D217" i="103" s="1"/>
  <c r="J44" i="103"/>
  <c r="D168" i="103"/>
  <c r="O36" i="87" l="1"/>
  <c r="R36" i="87" l="1"/>
  <c r="O29" i="87"/>
  <c r="O30" i="87"/>
  <c r="R40" i="87" s="1"/>
  <c r="R43" i="87"/>
  <c r="R42" i="87"/>
  <c r="D40" i="87"/>
  <c r="D39" i="87"/>
  <c r="D38" i="87"/>
  <c r="V37" i="87"/>
  <c r="X37" i="87"/>
  <c r="V23" i="87" l="1"/>
  <c r="X23" i="87"/>
  <c r="D241" i="87" l="1"/>
  <c r="D207" i="87"/>
  <c r="D199" i="87"/>
  <c r="R41" i="87"/>
  <c r="D206" i="87" s="1"/>
  <c r="D189" i="87"/>
  <c r="O185" i="87"/>
  <c r="R199" i="87" s="1"/>
  <c r="U208" i="87"/>
  <c r="U207" i="87"/>
  <c r="U206" i="87"/>
  <c r="U200" i="87"/>
  <c r="U199" i="87"/>
  <c r="U198" i="87"/>
  <c r="U191" i="87"/>
  <c r="U190" i="87"/>
  <c r="U189" i="87"/>
  <c r="R207" i="87" l="1"/>
  <c r="T189" i="87"/>
  <c r="Q207" i="87"/>
  <c r="Q190" i="87"/>
  <c r="R190" i="87"/>
  <c r="T198" i="87"/>
  <c r="Q199" i="87"/>
  <c r="T206" i="87"/>
  <c r="N241" i="87"/>
  <c r="D208" i="87"/>
  <c r="Q210" i="87" s="1"/>
  <c r="D242" i="87" l="1"/>
  <c r="D17" i="87" s="1"/>
  <c r="O210" i="87"/>
  <c r="N208" i="87"/>
  <c r="T207" i="87" s="1"/>
  <c r="O208" i="87"/>
  <c r="N210" i="87"/>
  <c r="T208" i="87" s="1"/>
  <c r="S210" i="87"/>
  <c r="U210" i="87" s="1"/>
  <c r="G206" i="87" s="1"/>
  <c r="T210" i="87" l="1"/>
  <c r="D209" i="87" s="1"/>
  <c r="D210" i="87" s="1"/>
  <c r="D114" i="87" l="1"/>
  <c r="D167" i="87"/>
  <c r="D72" i="87"/>
  <c r="D163" i="87" l="1"/>
  <c r="D34" i="87"/>
  <c r="D35" i="87"/>
  <c r="D36" i="87"/>
  <c r="R35" i="87"/>
  <c r="D11" i="87"/>
  <c r="O45" i="87" l="1"/>
  <c r="D45" i="87" s="1"/>
  <c r="D192" i="87" s="1"/>
  <c r="D198" i="87"/>
  <c r="D200" i="87" s="1"/>
  <c r="D113" i="87"/>
  <c r="D71" i="87"/>
  <c r="Q202" i="87" l="1"/>
  <c r="S202" i="87" s="1"/>
  <c r="N200" i="87"/>
  <c r="T199" i="87" s="1"/>
  <c r="O202" i="87"/>
  <c r="N202" i="87"/>
  <c r="T200" i="87" s="1"/>
  <c r="O200" i="87"/>
  <c r="D73" i="87"/>
  <c r="D162" i="87"/>
  <c r="V35" i="87"/>
  <c r="X24" i="87" s="1"/>
  <c r="X36" i="87"/>
  <c r="V36" i="87"/>
  <c r="Z26" i="87" s="1"/>
  <c r="X35" i="87"/>
  <c r="X25" i="87" l="1"/>
  <c r="V26" i="87"/>
  <c r="X26" i="87"/>
  <c r="V27" i="87"/>
  <c r="X27" i="87"/>
  <c r="Z25" i="87"/>
  <c r="V24" i="87"/>
  <c r="Z27" i="87"/>
  <c r="Z23" i="87"/>
  <c r="V25" i="87"/>
  <c r="Z24" i="87"/>
  <c r="T202" i="87"/>
  <c r="D201" i="87" s="1"/>
  <c r="D202" i="87" s="1"/>
  <c r="U202" i="87"/>
  <c r="G198" i="87" s="1"/>
  <c r="D164" i="87"/>
  <c r="Z30" i="87" l="1"/>
  <c r="Z32" i="87" s="1"/>
  <c r="Z29" i="87"/>
  <c r="Z31" i="87" s="1"/>
  <c r="V29" i="87" s="1"/>
  <c r="V30" i="87" l="1"/>
  <c r="O34" i="87"/>
  <c r="O43" i="87" s="1"/>
  <c r="X31" i="87"/>
  <c r="O33" i="87"/>
  <c r="O42" i="87" s="1"/>
  <c r="D43" i="87" s="1"/>
  <c r="V32" i="87"/>
  <c r="X29" i="87"/>
  <c r="X30" i="87"/>
  <c r="X32" i="87"/>
  <c r="V31" i="87"/>
  <c r="X33" i="87"/>
  <c r="V33" i="87"/>
  <c r="Z33" i="87" l="1"/>
  <c r="Z34" i="87"/>
  <c r="O32" i="87" l="1"/>
  <c r="O41" i="87" s="1"/>
  <c r="D42" i="87" s="1"/>
  <c r="D190" i="87" s="1"/>
  <c r="O31" i="87"/>
  <c r="O35" i="87" l="1"/>
  <c r="O44" i="87" s="1"/>
  <c r="O40" i="87"/>
  <c r="D41" i="87" s="1"/>
  <c r="D76" i="87" s="1"/>
  <c r="D168" i="87" s="1"/>
  <c r="D44" i="87" l="1"/>
  <c r="D191" i="87" l="1"/>
  <c r="I189" i="87" s="1"/>
  <c r="N193" i="87" s="1"/>
  <c r="T191" i="87" s="1"/>
  <c r="Q193" i="87" l="1"/>
  <c r="S193" i="87" s="1"/>
  <c r="U193" i="87" s="1"/>
  <c r="G191" i="87" s="1"/>
  <c r="N191" i="87"/>
  <c r="T190" i="87" s="1"/>
  <c r="O193" i="87"/>
  <c r="O191" i="87"/>
  <c r="T193" i="87" l="1"/>
  <c r="D193" i="87" s="1"/>
  <c r="D194" i="87" l="1"/>
  <c r="D217" i="87" l="1"/>
  <c r="S31" i="123" l="1"/>
  <c r="S33" i="123" s="1"/>
  <c r="AF8" i="123" s="1"/>
  <c r="AH12" i="123" l="1"/>
  <c r="AJ12" i="123" s="1"/>
  <c r="AH13" i="123"/>
  <c r="AJ13" i="123" s="1"/>
  <c r="F18" i="123"/>
  <c r="AF9" i="123" l="1"/>
  <c r="F19" i="123" s="1"/>
  <c r="F21" i="123" s="1"/>
  <c r="E33" i="123" l="1"/>
  <c r="E42" i="123"/>
  <c r="E31" i="123"/>
  <c r="E37" i="123" s="1"/>
  <c r="E35" i="123"/>
  <c r="D5" i="131" l="1"/>
  <c r="D5" i="128"/>
  <c r="D5" i="124"/>
  <c r="D5" i="125"/>
  <c r="D71" i="125" s="1"/>
  <c r="D5" i="126"/>
  <c r="D5" i="127"/>
  <c r="D87" i="125" l="1"/>
  <c r="D84" i="125"/>
  <c r="D84" i="131"/>
  <c r="D81" i="131"/>
  <c r="D78" i="131"/>
  <c r="D87" i="131"/>
  <c r="D16" i="131" s="1"/>
  <c r="D119" i="131" s="1"/>
  <c r="D131" i="131" s="1"/>
  <c r="D14" i="124"/>
  <c r="D123" i="124" s="1"/>
  <c r="D78" i="124"/>
  <c r="D16" i="124"/>
  <c r="D81" i="124"/>
  <c r="D88" i="126"/>
  <c r="D85" i="126"/>
  <c r="D91" i="126" s="1"/>
  <c r="D82" i="126"/>
  <c r="D165" i="126" s="1"/>
  <c r="J82" i="126"/>
  <c r="D13" i="125"/>
  <c r="D123" i="125" s="1"/>
  <c r="D15" i="125"/>
  <c r="D170" i="125" s="1"/>
  <c r="D182" i="125" s="1"/>
  <c r="D78" i="125"/>
  <c r="D81" i="125"/>
  <c r="D78" i="128"/>
  <c r="D84" i="128"/>
  <c r="D81" i="128"/>
  <c r="D87" i="128"/>
  <c r="D16" i="128" s="1"/>
  <c r="D88" i="127"/>
  <c r="J82" i="127"/>
  <c r="D85" i="127"/>
  <c r="D91" i="127" s="1"/>
  <c r="D82" i="127"/>
  <c r="E131" i="131" l="1"/>
  <c r="G131" i="131"/>
  <c r="J17" i="131"/>
  <c r="K17" i="131" s="1"/>
  <c r="D95" i="131"/>
  <c r="D14" i="131"/>
  <c r="D121" i="128"/>
  <c r="D133" i="128" s="1"/>
  <c r="J17" i="128" s="1"/>
  <c r="K17" i="128" s="1"/>
  <c r="D143" i="124"/>
  <c r="D155" i="124" s="1"/>
  <c r="G155" i="124" s="1"/>
  <c r="D130" i="124"/>
  <c r="E130" i="124" s="1"/>
  <c r="J85" i="126"/>
  <c r="D115" i="126"/>
  <c r="D95" i="128"/>
  <c r="D14" i="128"/>
  <c r="J16" i="125"/>
  <c r="K16" i="125" s="1"/>
  <c r="G182" i="125"/>
  <c r="E182" i="125"/>
  <c r="D115" i="127"/>
  <c r="J85" i="127"/>
  <c r="D165" i="127"/>
  <c r="D143" i="125"/>
  <c r="D130" i="125"/>
  <c r="D102" i="131" l="1"/>
  <c r="D112" i="131" s="1"/>
  <c r="D103" i="128"/>
  <c r="D114" i="128" s="1"/>
  <c r="D151" i="125"/>
  <c r="D163" i="125" s="1"/>
  <c r="G133" i="128"/>
  <c r="G130" i="124"/>
  <c r="E133" i="128"/>
  <c r="J14" i="124"/>
  <c r="K14" i="124" s="1"/>
  <c r="E155" i="124"/>
  <c r="J17" i="124"/>
  <c r="K17" i="124" s="1"/>
  <c r="D123" i="126"/>
  <c r="D121" i="126"/>
  <c r="D166" i="126" s="1"/>
  <c r="E130" i="125"/>
  <c r="G130" i="125"/>
  <c r="J13" i="125"/>
  <c r="K13" i="125" s="1"/>
  <c r="D123" i="127"/>
  <c r="D121" i="127"/>
  <c r="D166" i="127" s="1"/>
  <c r="J14" i="131" l="1"/>
  <c r="K14" i="131" s="1"/>
  <c r="E112" i="131"/>
  <c r="G112" i="131"/>
  <c r="J14" i="128"/>
  <c r="K14" i="128" s="1"/>
  <c r="G114" i="128"/>
  <c r="E114" i="128"/>
  <c r="J14" i="125"/>
  <c r="K14" i="125" s="1"/>
  <c r="E163" i="125"/>
  <c r="G163" i="125"/>
  <c r="J177" i="127"/>
  <c r="D14" i="127" s="1"/>
  <c r="D215" i="127" s="1"/>
  <c r="J174" i="127"/>
  <c r="D174" i="127"/>
  <c r="D180" i="127"/>
  <c r="D183" i="127"/>
  <c r="D177" i="127"/>
  <c r="D183" i="126"/>
  <c r="D180" i="126"/>
  <c r="D174" i="126"/>
  <c r="J177" i="126"/>
  <c r="D14" i="126" s="1"/>
  <c r="J174" i="126"/>
  <c r="D177" i="126"/>
  <c r="D215" i="126" l="1"/>
  <c r="D222" i="126" s="1"/>
  <c r="D16" i="126"/>
  <c r="D235" i="126" s="1"/>
  <c r="D247" i="126" s="1"/>
  <c r="D16" i="127"/>
  <c r="D262" i="127" s="1"/>
  <c r="D274" i="127" s="1"/>
  <c r="D222" i="127"/>
  <c r="D235" i="127"/>
  <c r="D243" i="127" l="1"/>
  <c r="D255" i="127" s="1"/>
  <c r="G222" i="126"/>
  <c r="J14" i="126"/>
  <c r="K14" i="126" s="1"/>
  <c r="E222" i="126"/>
  <c r="E247" i="126"/>
  <c r="G247" i="126"/>
  <c r="J17" i="126"/>
  <c r="K17" i="126" s="1"/>
  <c r="J14" i="127"/>
  <c r="K14" i="127" s="1"/>
  <c r="E222" i="127"/>
  <c r="G222" i="127"/>
  <c r="J17" i="127"/>
  <c r="K17" i="127" s="1"/>
  <c r="G274" i="127"/>
  <c r="E274" i="127"/>
  <c r="F14" i="135"/>
  <c r="E52" i="135" s="1"/>
  <c r="E58" i="135" s="1"/>
  <c r="D23" i="135" s="1"/>
  <c r="E255" i="127" l="1"/>
  <c r="J15" i="127"/>
  <c r="K15" i="127" s="1"/>
  <c r="G255" i="127"/>
  <c r="S25" i="135"/>
  <c r="S23" i="135"/>
  <c r="S24" i="135"/>
  <c r="R25" i="135"/>
  <c r="R23" i="135"/>
  <c r="R26" i="135"/>
  <c r="S26" i="135"/>
  <c r="R24" i="135"/>
  <c r="U26" i="135" l="1"/>
  <c r="H26" i="135"/>
  <c r="I26" i="135"/>
  <c r="U10" i="104" s="1"/>
  <c r="V26" i="135"/>
  <c r="U25" i="135"/>
  <c r="H25" i="135"/>
  <c r="I23" i="135"/>
  <c r="V23" i="135"/>
  <c r="H24" i="135"/>
  <c r="U24" i="135"/>
  <c r="U23" i="135"/>
  <c r="H23" i="135"/>
  <c r="U8" i="104" s="1"/>
  <c r="I24" i="135"/>
  <c r="U9" i="104" s="1"/>
  <c r="V24" i="135"/>
  <c r="V25" i="135"/>
  <c r="I25" i="135"/>
  <c r="P8" i="115" l="1"/>
  <c r="P8" i="110"/>
  <c r="O8" i="122"/>
  <c r="P8" i="112"/>
  <c r="P8" i="103"/>
  <c r="P8" i="111"/>
  <c r="D5" i="111" s="1"/>
  <c r="D71" i="111" s="1"/>
  <c r="P8" i="108"/>
  <c r="P8" i="87"/>
  <c r="O7" i="119"/>
  <c r="P8" i="107"/>
  <c r="P8" i="105"/>
  <c r="D5" i="105" s="1"/>
  <c r="D71" i="105" s="1"/>
  <c r="P8" i="109"/>
  <c r="D5" i="109" s="1"/>
  <c r="D71" i="109" s="1"/>
  <c r="F19" i="104"/>
  <c r="H19" i="104" s="1"/>
  <c r="P10" i="105"/>
  <c r="P10" i="103"/>
  <c r="P10" i="111"/>
  <c r="P10" i="110"/>
  <c r="P10" i="109"/>
  <c r="P10" i="108"/>
  <c r="O9" i="119"/>
  <c r="F21" i="104"/>
  <c r="H21" i="104" s="1"/>
  <c r="P10" i="115"/>
  <c r="O10" i="122"/>
  <c r="P10" i="87"/>
  <c r="P10" i="112"/>
  <c r="P10" i="107"/>
  <c r="F20" i="104"/>
  <c r="H20" i="104" s="1"/>
  <c r="P9" i="87"/>
  <c r="P9" i="110"/>
  <c r="P9" i="103"/>
  <c r="P9" i="108"/>
  <c r="P9" i="112"/>
  <c r="O9" i="122"/>
  <c r="P9" i="109"/>
  <c r="P9" i="107"/>
  <c r="P9" i="115"/>
  <c r="P9" i="111"/>
  <c r="P9" i="105"/>
  <c r="O8" i="119"/>
  <c r="D5" i="108" l="1"/>
  <c r="D71" i="108" s="1"/>
  <c r="D87" i="108" s="1"/>
  <c r="D16" i="108" s="1"/>
  <c r="D143" i="108" s="1"/>
  <c r="D155" i="108" s="1"/>
  <c r="D72" i="105"/>
  <c r="D85" i="105" s="1"/>
  <c r="D83" i="105"/>
  <c r="D75" i="105"/>
  <c r="D5" i="107"/>
  <c r="D71" i="107" s="1"/>
  <c r="D5" i="119"/>
  <c r="D100" i="119" s="1"/>
  <c r="D101" i="119" s="1"/>
  <c r="D5" i="87"/>
  <c r="D74" i="87" s="1"/>
  <c r="D87" i="111"/>
  <c r="D16" i="111" s="1"/>
  <c r="D126" i="111" s="1"/>
  <c r="D138" i="111" s="1"/>
  <c r="D81" i="111"/>
  <c r="D84" i="111"/>
  <c r="D78" i="111"/>
  <c r="D5" i="103"/>
  <c r="D74" i="103" s="1"/>
  <c r="D78" i="109"/>
  <c r="D81" i="109"/>
  <c r="D84" i="109"/>
  <c r="D14" i="109" s="1"/>
  <c r="D87" i="109"/>
  <c r="D16" i="109" s="1"/>
  <c r="D170" i="109" s="1"/>
  <c r="D182" i="109" s="1"/>
  <c r="D5" i="112"/>
  <c r="D71" i="112" s="1"/>
  <c r="D5" i="122"/>
  <c r="D100" i="122" s="1"/>
  <c r="D101" i="122" s="1"/>
  <c r="D5" i="110"/>
  <c r="D71" i="110" s="1"/>
  <c r="D5" i="115"/>
  <c r="D71" i="115" s="1"/>
  <c r="D87" i="105" l="1"/>
  <c r="D78" i="108"/>
  <c r="D81" i="108"/>
  <c r="D84" i="108"/>
  <c r="D14" i="108" s="1"/>
  <c r="D123" i="108" s="1"/>
  <c r="D130" i="108" s="1"/>
  <c r="E130" i="108" s="1"/>
  <c r="D78" i="110"/>
  <c r="D81" i="110"/>
  <c r="D87" i="110"/>
  <c r="D16" i="110" s="1"/>
  <c r="D121" i="110" s="1"/>
  <c r="D133" i="110" s="1"/>
  <c r="D84" i="110"/>
  <c r="D72" i="115"/>
  <c r="D75" i="115"/>
  <c r="D83" i="115"/>
  <c r="J14" i="108"/>
  <c r="K14" i="108" s="1"/>
  <c r="D72" i="112"/>
  <c r="D75" i="112" s="1"/>
  <c r="N113" i="119"/>
  <c r="Q113" i="119" s="1"/>
  <c r="D110" i="119" s="1"/>
  <c r="N114" i="119"/>
  <c r="N112" i="119"/>
  <c r="Q111" i="119" s="1"/>
  <c r="D108" i="119" s="1"/>
  <c r="N111" i="119"/>
  <c r="E138" i="111"/>
  <c r="G138" i="111"/>
  <c r="J17" i="111"/>
  <c r="K17" i="111" s="1"/>
  <c r="D72" i="107"/>
  <c r="D85" i="107" s="1"/>
  <c r="D83" i="107"/>
  <c r="G182" i="109"/>
  <c r="E182" i="109"/>
  <c r="J17" i="109"/>
  <c r="K17" i="109" s="1"/>
  <c r="J17" i="108"/>
  <c r="K17" i="108" s="1"/>
  <c r="E155" i="108"/>
  <c r="G155" i="108"/>
  <c r="D123" i="109"/>
  <c r="D130" i="109" s="1"/>
  <c r="D143" i="109"/>
  <c r="D151" i="109" s="1"/>
  <c r="D163" i="109" s="1"/>
  <c r="N113" i="122"/>
  <c r="Q113" i="122" s="1"/>
  <c r="D110" i="122" s="1"/>
  <c r="N112" i="122"/>
  <c r="Q111" i="122" s="1"/>
  <c r="D108" i="122" s="1"/>
  <c r="N111" i="122"/>
  <c r="N114" i="122"/>
  <c r="D88" i="103"/>
  <c r="J82" i="103"/>
  <c r="D82" i="103"/>
  <c r="D85" i="103"/>
  <c r="D91" i="103" s="1"/>
  <c r="D14" i="111"/>
  <c r="D95" i="111"/>
  <c r="D102" i="111" s="1"/>
  <c r="D119" i="111" s="1"/>
  <c r="D89" i="105"/>
  <c r="D82" i="87"/>
  <c r="D88" i="87"/>
  <c r="D85" i="87"/>
  <c r="D91" i="87" s="1"/>
  <c r="J82" i="87"/>
  <c r="G130" i="108" l="1"/>
  <c r="N128" i="122"/>
  <c r="N117" i="122"/>
  <c r="N118" i="122"/>
  <c r="Q117" i="122" s="1"/>
  <c r="D119" i="122" s="1"/>
  <c r="N135" i="122"/>
  <c r="Q134" i="122" s="1"/>
  <c r="D135" i="122" s="1"/>
  <c r="N129" i="122"/>
  <c r="Q128" i="122" s="1"/>
  <c r="D129" i="122" s="1"/>
  <c r="N134" i="122"/>
  <c r="D89" i="107"/>
  <c r="D85" i="112"/>
  <c r="J14" i="109"/>
  <c r="K14" i="109" s="1"/>
  <c r="G130" i="109"/>
  <c r="E130" i="109"/>
  <c r="N137" i="122"/>
  <c r="N131" i="122"/>
  <c r="N119" i="122"/>
  <c r="Q119" i="122" s="1"/>
  <c r="I119" i="122" s="1"/>
  <c r="N136" i="122"/>
  <c r="Q136" i="122" s="1"/>
  <c r="I135" i="122" s="1"/>
  <c r="N120" i="122"/>
  <c r="N130" i="122"/>
  <c r="Q130" i="122" s="1"/>
  <c r="I129" i="122" s="1"/>
  <c r="E163" i="109"/>
  <c r="G163" i="109"/>
  <c r="J15" i="109"/>
  <c r="K15" i="109" s="1"/>
  <c r="N134" i="119"/>
  <c r="N118" i="119"/>
  <c r="Q117" i="119" s="1"/>
  <c r="D119" i="119" s="1"/>
  <c r="N135" i="119"/>
  <c r="Q134" i="119" s="1"/>
  <c r="D135" i="119" s="1"/>
  <c r="N117" i="119"/>
  <c r="N129" i="119"/>
  <c r="Q128" i="119" s="1"/>
  <c r="D129" i="119" s="1"/>
  <c r="N128" i="119"/>
  <c r="D89" i="115"/>
  <c r="D14" i="115" s="1"/>
  <c r="D95" i="115" s="1"/>
  <c r="D102" i="115" s="1"/>
  <c r="D119" i="115" s="1"/>
  <c r="D85" i="115"/>
  <c r="D87" i="115" s="1"/>
  <c r="D91" i="105"/>
  <c r="Q89" i="105"/>
  <c r="D14" i="105"/>
  <c r="D123" i="105" s="1"/>
  <c r="D130" i="105" s="1"/>
  <c r="D95" i="110"/>
  <c r="D103" i="110" s="1"/>
  <c r="D114" i="110" s="1"/>
  <c r="D14" i="110"/>
  <c r="D115" i="87"/>
  <c r="J85" i="87"/>
  <c r="D165" i="87"/>
  <c r="N137" i="119"/>
  <c r="N119" i="119"/>
  <c r="Q119" i="119" s="1"/>
  <c r="I119" i="119" s="1"/>
  <c r="N120" i="119"/>
  <c r="N131" i="119"/>
  <c r="N136" i="119"/>
  <c r="Q136" i="119" s="1"/>
  <c r="I135" i="119" s="1"/>
  <c r="N130" i="119"/>
  <c r="Q130" i="119" s="1"/>
  <c r="I129" i="119" s="1"/>
  <c r="J17" i="110"/>
  <c r="K17" i="110" s="1"/>
  <c r="G133" i="110"/>
  <c r="E133" i="110"/>
  <c r="D83" i="112"/>
  <c r="D87" i="112" s="1"/>
  <c r="G119" i="111"/>
  <c r="J14" i="111"/>
  <c r="K14" i="111" s="1"/>
  <c r="E119" i="111"/>
  <c r="J85" i="103"/>
  <c r="D115" i="103"/>
  <c r="D165" i="103"/>
  <c r="D75" i="107"/>
  <c r="D87" i="107" s="1"/>
  <c r="D89" i="112"/>
  <c r="D14" i="112" s="1"/>
  <c r="D95" i="112" s="1"/>
  <c r="D103" i="112" s="1"/>
  <c r="D114" i="112" s="1"/>
  <c r="D91" i="115" l="1"/>
  <c r="D16" i="115" s="1"/>
  <c r="D126" i="115" s="1"/>
  <c r="D138" i="115" s="1"/>
  <c r="J17" i="115" s="1"/>
  <c r="K17" i="115" s="1"/>
  <c r="G114" i="112"/>
  <c r="E114" i="112"/>
  <c r="J14" i="112"/>
  <c r="K14" i="112" s="1"/>
  <c r="Q91" i="105"/>
  <c r="D16" i="105"/>
  <c r="D143" i="105" s="1"/>
  <c r="D155" i="105" s="1"/>
  <c r="D91" i="112"/>
  <c r="D16" i="112" s="1"/>
  <c r="D121" i="112" s="1"/>
  <c r="D133" i="112" s="1"/>
  <c r="D123" i="103"/>
  <c r="D121" i="103"/>
  <c r="D166" i="103" s="1"/>
  <c r="D91" i="107"/>
  <c r="D16" i="107" s="1"/>
  <c r="D170" i="107" s="1"/>
  <c r="D182" i="107" s="1"/>
  <c r="D14" i="107"/>
  <c r="G138" i="115"/>
  <c r="E138" i="115"/>
  <c r="G119" i="115"/>
  <c r="E119" i="115"/>
  <c r="J14" i="115"/>
  <c r="K14" i="115" s="1"/>
  <c r="D132" i="122"/>
  <c r="D13" i="122" s="1"/>
  <c r="D216" i="122" s="1"/>
  <c r="J14" i="110"/>
  <c r="K14" i="110" s="1"/>
  <c r="G114" i="110"/>
  <c r="E114" i="110"/>
  <c r="D138" i="122"/>
  <c r="D15" i="122" s="1"/>
  <c r="J14" i="105"/>
  <c r="K14" i="105" s="1"/>
  <c r="G130" i="105"/>
  <c r="E130" i="105"/>
  <c r="D122" i="119"/>
  <c r="D126" i="119" s="1"/>
  <c r="D122" i="122"/>
  <c r="D126" i="122" s="1"/>
  <c r="D132" i="119"/>
  <c r="D123" i="87"/>
  <c r="D121" i="87"/>
  <c r="D166" i="87" s="1"/>
  <c r="D138" i="119"/>
  <c r="D15" i="119" s="1"/>
  <c r="J17" i="107" l="1"/>
  <c r="K17" i="107" s="1"/>
  <c r="E182" i="107"/>
  <c r="G182" i="107"/>
  <c r="D177" i="103"/>
  <c r="D174" i="103"/>
  <c r="J177" i="103"/>
  <c r="D14" i="103" s="1"/>
  <c r="D183" i="103"/>
  <c r="J174" i="103"/>
  <c r="D180" i="103"/>
  <c r="E133" i="112"/>
  <c r="J17" i="112"/>
  <c r="K17" i="112" s="1"/>
  <c r="G133" i="112"/>
  <c r="D143" i="107"/>
  <c r="D151" i="107" s="1"/>
  <c r="D163" i="107" s="1"/>
  <c r="D123" i="107"/>
  <c r="D130" i="107" s="1"/>
  <c r="J17" i="105"/>
  <c r="K17" i="105" s="1"/>
  <c r="G155" i="105"/>
  <c r="E155" i="105"/>
  <c r="D34" i="119"/>
  <c r="D206" i="119"/>
  <c r="D218" i="119" s="1"/>
  <c r="D42" i="122"/>
  <c r="D252" i="122"/>
  <c r="D264" i="122" s="1"/>
  <c r="D180" i="87"/>
  <c r="D177" i="87"/>
  <c r="J177" i="87"/>
  <c r="D14" i="87" s="1"/>
  <c r="D215" i="87" s="1"/>
  <c r="D222" i="87" s="1"/>
  <c r="J174" i="87"/>
  <c r="D183" i="87"/>
  <c r="D174" i="87"/>
  <c r="D163" i="119"/>
  <c r="D13" i="119"/>
  <c r="D222" i="122"/>
  <c r="D39" i="122"/>
  <c r="E222" i="87" l="1"/>
  <c r="J14" i="87"/>
  <c r="K14" i="87" s="1"/>
  <c r="G222" i="87"/>
  <c r="E218" i="119"/>
  <c r="G218" i="119"/>
  <c r="D16" i="103"/>
  <c r="D262" i="103" s="1"/>
  <c r="D274" i="103" s="1"/>
  <c r="G42" i="122"/>
  <c r="F42" i="122"/>
  <c r="G39" i="122"/>
  <c r="F39" i="122"/>
  <c r="F40" i="122" s="1"/>
  <c r="G40" i="122" s="1"/>
  <c r="F227" i="122"/>
  <c r="D228" i="122" s="1"/>
  <c r="G222" i="122"/>
  <c r="E222" i="122"/>
  <c r="G34" i="119"/>
  <c r="F34" i="119"/>
  <c r="D215" i="103"/>
  <c r="D222" i="103" s="1"/>
  <c r="D235" i="103"/>
  <c r="D243" i="103" s="1"/>
  <c r="D255" i="103" s="1"/>
  <c r="D175" i="119"/>
  <c r="D31" i="119"/>
  <c r="G264" i="122"/>
  <c r="E264" i="122"/>
  <c r="D16" i="87"/>
  <c r="D235" i="87" s="1"/>
  <c r="D247" i="87" s="1"/>
  <c r="J14" i="107"/>
  <c r="K14" i="107" s="1"/>
  <c r="E130" i="107"/>
  <c r="G130" i="107"/>
  <c r="J15" i="107"/>
  <c r="K15" i="107" s="1"/>
  <c r="G163" i="107"/>
  <c r="E163" i="107"/>
  <c r="J17" i="87" l="1"/>
  <c r="K17" i="87" s="1"/>
  <c r="E247" i="87"/>
  <c r="G247" i="87"/>
  <c r="E175" i="119"/>
  <c r="G175" i="119"/>
  <c r="E274" i="103"/>
  <c r="G274" i="103"/>
  <c r="J17" i="103"/>
  <c r="K17" i="103" s="1"/>
  <c r="F31" i="119"/>
  <c r="F32" i="119" s="1"/>
  <c r="G32" i="119" s="1"/>
  <c r="G31" i="119"/>
  <c r="J14" i="103"/>
  <c r="K14" i="103" s="1"/>
  <c r="E222" i="103"/>
  <c r="G222" i="103"/>
  <c r="J15" i="103"/>
  <c r="K15" i="103" s="1"/>
  <c r="G255" i="103"/>
  <c r="E255" i="103"/>
  <c r="G228" i="122"/>
  <c r="E228" i="122"/>
</calcChain>
</file>

<file path=xl/sharedStrings.xml><?xml version="1.0" encoding="utf-8"?>
<sst xmlns="http://schemas.openxmlformats.org/spreadsheetml/2006/main" count="8079" uniqueCount="1134">
  <si>
    <t xml:space="preserve"> </t>
  </si>
  <si>
    <t xml:space="preserve"> </t>
    <phoneticPr fontId="2" type="noConversion"/>
  </si>
  <si>
    <t>L</t>
    <phoneticPr fontId="2" type="noConversion"/>
  </si>
  <si>
    <t>W</t>
    <phoneticPr fontId="2" type="noConversion"/>
  </si>
  <si>
    <t>=</t>
    <phoneticPr fontId="2" type="noConversion"/>
  </si>
  <si>
    <t>E</t>
    <phoneticPr fontId="2" type="noConversion"/>
  </si>
  <si>
    <t>I</t>
    <phoneticPr fontId="2" type="noConversion"/>
  </si>
  <si>
    <t>P</t>
    <phoneticPr fontId="2" type="noConversion"/>
  </si>
  <si>
    <t>α</t>
    <phoneticPr fontId="2" type="noConversion"/>
  </si>
  <si>
    <t>:</t>
    <phoneticPr fontId="2" type="noConversion"/>
  </si>
  <si>
    <r>
      <t>I</t>
    </r>
    <r>
      <rPr>
        <b/>
        <vertAlign val="subscript"/>
        <sz val="12"/>
        <rFont val="한컴바탕"/>
        <family val="1"/>
        <charset val="129"/>
      </rPr>
      <t/>
    </r>
    <phoneticPr fontId="2" type="noConversion"/>
  </si>
  <si>
    <t>w</t>
    <phoneticPr fontId="2" type="noConversion"/>
  </si>
  <si>
    <t>-.</t>
    <phoneticPr fontId="2" type="noConversion"/>
  </si>
  <si>
    <t>1)</t>
    <phoneticPr fontId="2" type="noConversion"/>
  </si>
  <si>
    <t>WIND PRESSURE DESIGN CONDITION</t>
    <phoneticPr fontId="13" type="noConversion"/>
  </si>
  <si>
    <t>(1) INPUT DATA</t>
    <phoneticPr fontId="3" type="noConversion"/>
  </si>
  <si>
    <t>건설지점</t>
    <phoneticPr fontId="13" type="noConversion"/>
  </si>
  <si>
    <t>:</t>
    <phoneticPr fontId="13" type="noConversion"/>
  </si>
  <si>
    <t>m</t>
    <phoneticPr fontId="13" type="noConversion"/>
  </si>
  <si>
    <r>
      <t xml:space="preserve">기본풍속 ( </t>
    </r>
    <r>
      <rPr>
        <b/>
        <i/>
        <sz val="9"/>
        <color indexed="8"/>
        <rFont val="Times New Roman"/>
        <family val="1"/>
      </rPr>
      <t>V</t>
    </r>
    <r>
      <rPr>
        <b/>
        <i/>
        <vertAlign val="subscript"/>
        <sz val="9"/>
        <color indexed="8"/>
        <rFont val="Times New Roman"/>
        <family val="1"/>
      </rPr>
      <t>0</t>
    </r>
    <r>
      <rPr>
        <b/>
        <sz val="9"/>
        <color indexed="8"/>
        <rFont val="한컴돋움"/>
        <family val="1"/>
        <charset val="129"/>
      </rPr>
      <t xml:space="preserve"> )</t>
    </r>
    <phoneticPr fontId="13" type="noConversion"/>
  </si>
  <si>
    <t>m/sec</t>
    <phoneticPr fontId="13" type="noConversion"/>
  </si>
  <si>
    <t>지표면 조도</t>
    <phoneticPr fontId="13" type="noConversion"/>
  </si>
  <si>
    <r>
      <t xml:space="preserve">지형계수 ( </t>
    </r>
    <r>
      <rPr>
        <b/>
        <i/>
        <sz val="9"/>
        <color indexed="8"/>
        <rFont val="Times New Roman"/>
        <family val="1"/>
      </rPr>
      <t>K</t>
    </r>
    <r>
      <rPr>
        <b/>
        <i/>
        <vertAlign val="subscript"/>
        <sz val="9"/>
        <color indexed="8"/>
        <rFont val="Times New Roman"/>
        <family val="1"/>
      </rPr>
      <t>zt</t>
    </r>
    <r>
      <rPr>
        <b/>
        <sz val="9"/>
        <color indexed="8"/>
        <rFont val="한컴돋움"/>
        <family val="1"/>
        <charset val="129"/>
      </rPr>
      <t xml:space="preserve"> )</t>
    </r>
    <phoneticPr fontId="2" type="noConversion"/>
  </si>
  <si>
    <r>
      <t xml:space="preserve">중요도계수 ( </t>
    </r>
    <r>
      <rPr>
        <b/>
        <i/>
        <sz val="9"/>
        <color indexed="8"/>
        <rFont val="Times New Roman"/>
        <family val="1"/>
      </rPr>
      <t>I</t>
    </r>
    <r>
      <rPr>
        <b/>
        <i/>
        <vertAlign val="subscript"/>
        <sz val="9"/>
        <color indexed="8"/>
        <rFont val="Times New Roman"/>
        <family val="1"/>
      </rPr>
      <t xml:space="preserve">w </t>
    </r>
    <r>
      <rPr>
        <b/>
        <sz val="9"/>
        <color indexed="8"/>
        <rFont val="한컴돋움"/>
        <family val="1"/>
        <charset val="129"/>
      </rPr>
      <t>)</t>
    </r>
    <phoneticPr fontId="13" type="noConversion"/>
  </si>
  <si>
    <r>
      <t xml:space="preserve">유효 수압면적 ( </t>
    </r>
    <r>
      <rPr>
        <b/>
        <i/>
        <sz val="9"/>
        <color indexed="8"/>
        <rFont val="Times New Roman"/>
        <family val="1"/>
      </rPr>
      <t xml:space="preserve">A </t>
    </r>
    <r>
      <rPr>
        <b/>
        <sz val="9"/>
        <color indexed="8"/>
        <rFont val="한컴돋움"/>
        <family val="1"/>
        <charset val="129"/>
      </rPr>
      <t>)</t>
    </r>
    <phoneticPr fontId="13" type="noConversion"/>
  </si>
  <si>
    <t>(mm)   ×</t>
    <phoneticPr fontId="13" type="noConversion"/>
  </si>
  <si>
    <t>(mm)</t>
    <phoneticPr fontId="13" type="noConversion"/>
  </si>
  <si>
    <t>TYPICAL ZONE (+)</t>
    <phoneticPr fontId="13" type="noConversion"/>
  </si>
  <si>
    <r>
      <t>kgf/m</t>
    </r>
    <r>
      <rPr>
        <b/>
        <vertAlign val="superscript"/>
        <sz val="9"/>
        <color indexed="8"/>
        <rFont val="한컴돋움"/>
        <family val="1"/>
        <charset val="129"/>
      </rPr>
      <t>2</t>
    </r>
    <phoneticPr fontId="13" type="noConversion"/>
  </si>
  <si>
    <t>TYPICAL ZONE (-)</t>
    <phoneticPr fontId="13" type="noConversion"/>
  </si>
  <si>
    <t>EDGE ZONE (-)</t>
    <phoneticPr fontId="2" type="noConversion"/>
  </si>
  <si>
    <t xml:space="preserve">Height </t>
    <phoneticPr fontId="2" type="noConversion"/>
  </si>
  <si>
    <t xml:space="preserve">     (m) </t>
    <phoneticPr fontId="2" type="noConversion"/>
  </si>
  <si>
    <t>2)</t>
    <phoneticPr fontId="2" type="noConversion"/>
  </si>
  <si>
    <r>
      <t>K</t>
    </r>
    <r>
      <rPr>
        <b/>
        <i/>
        <vertAlign val="subscript"/>
        <sz val="9"/>
        <color indexed="8"/>
        <rFont val="Times New Roman"/>
        <family val="1"/>
      </rPr>
      <t>zr</t>
    </r>
    <phoneticPr fontId="13" type="noConversion"/>
  </si>
  <si>
    <r>
      <t>Z</t>
    </r>
    <r>
      <rPr>
        <b/>
        <i/>
        <vertAlign val="subscript"/>
        <sz val="9"/>
        <rFont val="Times New Roman"/>
        <family val="1"/>
      </rPr>
      <t>b</t>
    </r>
    <phoneticPr fontId="2" type="noConversion"/>
  </si>
  <si>
    <t>=</t>
    <phoneticPr fontId="2" type="noConversion"/>
  </si>
  <si>
    <r>
      <t>Z</t>
    </r>
    <r>
      <rPr>
        <b/>
        <i/>
        <vertAlign val="subscript"/>
        <sz val="9"/>
        <rFont val="Times New Roman"/>
        <family val="1"/>
      </rPr>
      <t>g</t>
    </r>
    <phoneticPr fontId="2" type="noConversion"/>
  </si>
  <si>
    <t>Z</t>
    <phoneticPr fontId="2" type="noConversion"/>
  </si>
  <si>
    <t>3)</t>
    <phoneticPr fontId="2" type="noConversion"/>
  </si>
  <si>
    <t>ρ</t>
    <phoneticPr fontId="2" type="noConversion"/>
  </si>
  <si>
    <r>
      <t>kg/m</t>
    </r>
    <r>
      <rPr>
        <b/>
        <vertAlign val="superscript"/>
        <sz val="9"/>
        <color indexed="8"/>
        <rFont val="한컴돋움"/>
        <family val="1"/>
        <charset val="129"/>
      </rPr>
      <t>3</t>
    </r>
    <phoneticPr fontId="2" type="noConversion"/>
  </si>
  <si>
    <t>4)</t>
    <phoneticPr fontId="2" type="noConversion"/>
  </si>
  <si>
    <t>a</t>
    <phoneticPr fontId="2" type="noConversion"/>
  </si>
  <si>
    <t>Kzr</t>
    <phoneticPr fontId="2" type="noConversion"/>
  </si>
  <si>
    <t>A</t>
    <phoneticPr fontId="2" type="noConversion"/>
  </si>
  <si>
    <t>B</t>
    <phoneticPr fontId="2" type="noConversion"/>
  </si>
  <si>
    <t>C</t>
    <phoneticPr fontId="2" type="noConversion"/>
  </si>
  <si>
    <t>D</t>
    <phoneticPr fontId="2" type="noConversion"/>
  </si>
  <si>
    <t>=</t>
    <phoneticPr fontId="13" type="noConversion"/>
  </si>
  <si>
    <t>· 지붕면 평균높이가 높이 20m 이상인 경우</t>
    <phoneticPr fontId="13" type="noConversion"/>
  </si>
  <si>
    <t>-</t>
    <phoneticPr fontId="2" type="noConversion"/>
  </si>
  <si>
    <t>수압면적</t>
    <phoneticPr fontId="2" type="noConversion"/>
  </si>
  <si>
    <t>CASE</t>
    <phoneticPr fontId="2" type="noConversion"/>
  </si>
  <si>
    <t>A≤1</t>
    <phoneticPr fontId="2" type="noConversion"/>
  </si>
  <si>
    <t>1&lt;A≤50</t>
    <phoneticPr fontId="2" type="noConversion"/>
  </si>
  <si>
    <t>A&gt;50</t>
    <phoneticPr fontId="2" type="noConversion"/>
  </si>
  <si>
    <t>=</t>
    <phoneticPr fontId="2" type="noConversion"/>
  </si>
  <si>
    <t>1) GENETRAL</t>
    <phoneticPr fontId="2" type="noConversion"/>
  </si>
  <si>
    <t>W.L</t>
  </si>
  <si>
    <r>
      <t>W</t>
    </r>
    <r>
      <rPr>
        <b/>
        <i/>
        <vertAlign val="subscript"/>
        <sz val="9"/>
        <rFont val="Times New Roman"/>
        <family val="1"/>
      </rPr>
      <t>1</t>
    </r>
    <phoneticPr fontId="2" type="noConversion"/>
  </si>
  <si>
    <r>
      <t>W</t>
    </r>
    <r>
      <rPr>
        <b/>
        <i/>
        <vertAlign val="subscript"/>
        <sz val="9"/>
        <rFont val="Times New Roman"/>
        <family val="1"/>
      </rPr>
      <t>2</t>
    </r>
    <phoneticPr fontId="2" type="noConversion"/>
  </si>
  <si>
    <r>
      <t>SPAN</t>
    </r>
    <r>
      <rPr>
        <b/>
        <i/>
        <vertAlign val="subscript"/>
        <sz val="9"/>
        <rFont val="Times New Roman"/>
        <family val="1"/>
      </rPr>
      <t>1</t>
    </r>
    <r>
      <rPr>
        <b/>
        <i/>
        <sz val="9"/>
        <rFont val="Times New Roman"/>
        <family val="1"/>
      </rPr>
      <t xml:space="preserve"> </t>
    </r>
    <r>
      <rPr>
        <b/>
        <sz val="9"/>
        <rFont val="Times New Roman"/>
        <family val="1"/>
      </rPr>
      <t>(</t>
    </r>
    <r>
      <rPr>
        <b/>
        <i/>
        <sz val="9"/>
        <rFont val="Times New Roman"/>
        <family val="1"/>
      </rPr>
      <t xml:space="preserve"> H </t>
    </r>
    <r>
      <rPr>
        <b/>
        <sz val="9"/>
        <rFont val="Times New Roman"/>
        <family val="1"/>
      </rPr>
      <t>)</t>
    </r>
    <phoneticPr fontId="2" type="noConversion"/>
  </si>
  <si>
    <r>
      <t>SPAN</t>
    </r>
    <r>
      <rPr>
        <b/>
        <i/>
        <vertAlign val="subscript"/>
        <sz val="9"/>
        <rFont val="Times New Roman"/>
        <family val="1"/>
      </rPr>
      <t>2</t>
    </r>
    <r>
      <rPr>
        <b/>
        <i/>
        <sz val="9"/>
        <rFont val="Times New Roman"/>
        <family val="1"/>
      </rPr>
      <t xml:space="preserve"> </t>
    </r>
    <r>
      <rPr>
        <b/>
        <sz val="9"/>
        <rFont val="Times New Roman"/>
        <family val="1"/>
      </rPr>
      <t xml:space="preserve">( </t>
    </r>
    <r>
      <rPr>
        <b/>
        <i/>
        <sz val="9"/>
        <rFont val="Times New Roman"/>
        <family val="1"/>
      </rPr>
      <t xml:space="preserve">a </t>
    </r>
    <r>
      <rPr>
        <b/>
        <sz val="9"/>
        <rFont val="Times New Roman"/>
        <family val="1"/>
      </rPr>
      <t>)</t>
    </r>
    <phoneticPr fontId="2" type="noConversion"/>
  </si>
  <si>
    <r>
      <t>SPAN</t>
    </r>
    <r>
      <rPr>
        <b/>
        <i/>
        <vertAlign val="subscript"/>
        <sz val="9"/>
        <rFont val="Times New Roman"/>
        <family val="1"/>
      </rPr>
      <t>3</t>
    </r>
    <r>
      <rPr>
        <b/>
        <i/>
        <sz val="9"/>
        <rFont val="Times New Roman"/>
        <family val="1"/>
      </rPr>
      <t xml:space="preserve"> </t>
    </r>
    <r>
      <rPr>
        <b/>
        <sz val="9"/>
        <rFont val="Times New Roman"/>
        <family val="1"/>
      </rPr>
      <t xml:space="preserve">( </t>
    </r>
    <r>
      <rPr>
        <b/>
        <i/>
        <sz val="9"/>
        <rFont val="Times New Roman"/>
        <family val="1"/>
      </rPr>
      <t xml:space="preserve">L </t>
    </r>
    <r>
      <rPr>
        <b/>
        <sz val="9"/>
        <rFont val="Times New Roman"/>
        <family val="1"/>
      </rPr>
      <t>)</t>
    </r>
    <phoneticPr fontId="2" type="noConversion"/>
  </si>
  <si>
    <r>
      <t>M</t>
    </r>
    <r>
      <rPr>
        <b/>
        <i/>
        <vertAlign val="subscript"/>
        <sz val="9"/>
        <rFont val="Times New Roman"/>
        <family val="1"/>
      </rPr>
      <t>MAX</t>
    </r>
    <phoneticPr fontId="2" type="noConversion"/>
  </si>
  <si>
    <r>
      <t>f</t>
    </r>
    <r>
      <rPr>
        <b/>
        <i/>
        <vertAlign val="subscript"/>
        <sz val="9"/>
        <rFont val="Times New Roman"/>
        <family val="1"/>
      </rPr>
      <t>b</t>
    </r>
    <r>
      <rPr>
        <b/>
        <i/>
        <sz val="9"/>
        <rFont val="Times New Roman"/>
        <family val="1"/>
      </rPr>
      <t xml:space="preserve">  /  F</t>
    </r>
    <r>
      <rPr>
        <b/>
        <i/>
        <vertAlign val="subscript"/>
        <sz val="9"/>
        <rFont val="Times New Roman"/>
        <family val="1"/>
      </rPr>
      <t>b</t>
    </r>
    <phoneticPr fontId="2" type="noConversion"/>
  </si>
  <si>
    <r>
      <t>E</t>
    </r>
    <r>
      <rPr>
        <b/>
        <i/>
        <vertAlign val="subscript"/>
        <sz val="9"/>
        <rFont val="Times New Roman"/>
        <family val="1"/>
      </rPr>
      <t>STEEL</t>
    </r>
    <phoneticPr fontId="2" type="noConversion"/>
  </si>
  <si>
    <r>
      <t>Δ</t>
    </r>
    <r>
      <rPr>
        <b/>
        <i/>
        <vertAlign val="subscript"/>
        <sz val="9"/>
        <rFont val="Times New Roman"/>
        <family val="1"/>
      </rPr>
      <t>MAX</t>
    </r>
    <r>
      <rPr>
        <b/>
        <i/>
        <sz val="9"/>
        <rFont val="Times New Roman"/>
        <family val="1"/>
      </rPr>
      <t xml:space="preserve">  /  Δ</t>
    </r>
    <r>
      <rPr>
        <b/>
        <i/>
        <vertAlign val="subscript"/>
        <sz val="9"/>
        <rFont val="Times New Roman"/>
        <family val="1"/>
      </rPr>
      <t xml:space="preserve">ALL </t>
    </r>
    <phoneticPr fontId="2" type="noConversion"/>
  </si>
  <si>
    <r>
      <rPr>
        <b/>
        <sz val="9"/>
        <rFont val="Times New Roman"/>
        <family val="1"/>
      </rPr>
      <t xml:space="preserve">( </t>
    </r>
    <r>
      <rPr>
        <b/>
        <i/>
        <sz val="9"/>
        <rFont val="Times New Roman"/>
        <family val="1"/>
      </rPr>
      <t xml:space="preserve">Design Wind Load </t>
    </r>
    <r>
      <rPr>
        <b/>
        <sz val="9"/>
        <rFont val="Times New Roman"/>
        <family val="1"/>
      </rPr>
      <t>)</t>
    </r>
    <phoneticPr fontId="2" type="noConversion"/>
  </si>
  <si>
    <r>
      <rPr>
        <b/>
        <sz val="9"/>
        <rFont val="Times New Roman"/>
        <family val="1"/>
      </rPr>
      <t>(</t>
    </r>
    <r>
      <rPr>
        <b/>
        <i/>
        <sz val="9"/>
        <rFont val="Times New Roman"/>
        <family val="1"/>
      </rPr>
      <t xml:space="preserve"> Module Width 1 </t>
    </r>
    <r>
      <rPr>
        <b/>
        <sz val="9"/>
        <rFont val="Times New Roman"/>
        <family val="1"/>
      </rPr>
      <t>)</t>
    </r>
    <phoneticPr fontId="2" type="noConversion"/>
  </si>
  <si>
    <r>
      <rPr>
        <b/>
        <sz val="9"/>
        <rFont val="Times New Roman"/>
        <family val="1"/>
      </rPr>
      <t xml:space="preserve">( </t>
    </r>
    <r>
      <rPr>
        <b/>
        <i/>
        <sz val="9"/>
        <rFont val="Times New Roman"/>
        <family val="1"/>
      </rPr>
      <t>Module Width 2</t>
    </r>
    <r>
      <rPr>
        <b/>
        <sz val="9"/>
        <rFont val="Times New Roman"/>
        <family val="1"/>
      </rPr>
      <t xml:space="preserve"> )</t>
    </r>
    <phoneticPr fontId="2" type="noConversion"/>
  </si>
  <si>
    <r>
      <rPr>
        <b/>
        <sz val="9"/>
        <rFont val="Times New Roman"/>
        <family val="1"/>
      </rPr>
      <t xml:space="preserve">( </t>
    </r>
    <r>
      <rPr>
        <b/>
        <i/>
        <sz val="9"/>
        <rFont val="Times New Roman"/>
        <family val="1"/>
      </rPr>
      <t xml:space="preserve">Unbraced Length </t>
    </r>
    <r>
      <rPr>
        <b/>
        <sz val="9"/>
        <rFont val="Times New Roman"/>
        <family val="1"/>
      </rPr>
      <t>)</t>
    </r>
    <phoneticPr fontId="2" type="noConversion"/>
  </si>
  <si>
    <t>H</t>
    <phoneticPr fontId="2" type="noConversion"/>
  </si>
  <si>
    <r>
      <t>t</t>
    </r>
    <r>
      <rPr>
        <b/>
        <i/>
        <vertAlign val="subscript"/>
        <sz val="9"/>
        <rFont val="Times New Roman"/>
        <family val="1"/>
      </rPr>
      <t>1</t>
    </r>
    <phoneticPr fontId="2" type="noConversion"/>
  </si>
  <si>
    <r>
      <t>t</t>
    </r>
    <r>
      <rPr>
        <b/>
        <i/>
        <vertAlign val="subscript"/>
        <sz val="9"/>
        <rFont val="Times New Roman"/>
        <family val="1"/>
      </rPr>
      <t>2</t>
    </r>
    <phoneticPr fontId="2" type="noConversion"/>
  </si>
  <si>
    <t>h</t>
    <phoneticPr fontId="2" type="noConversion"/>
  </si>
  <si>
    <t>b</t>
    <phoneticPr fontId="2" type="noConversion"/>
  </si>
  <si>
    <t>2) USING SECTION PROPERTIES  &amp;  FASADE DESIGN</t>
    <phoneticPr fontId="2" type="noConversion"/>
  </si>
  <si>
    <r>
      <t>h  /  t</t>
    </r>
    <r>
      <rPr>
        <b/>
        <i/>
        <vertAlign val="subscript"/>
        <sz val="9"/>
        <rFont val="Times New Roman"/>
        <family val="1"/>
      </rPr>
      <t>1</t>
    </r>
    <phoneticPr fontId="2" type="noConversion"/>
  </si>
  <si>
    <r>
      <t>b  /  t</t>
    </r>
    <r>
      <rPr>
        <b/>
        <i/>
        <vertAlign val="subscript"/>
        <sz val="9"/>
        <rFont val="Times New Roman"/>
        <family val="1"/>
      </rPr>
      <t>2</t>
    </r>
    <phoneticPr fontId="2" type="noConversion"/>
  </si>
  <si>
    <r>
      <t xml:space="preserve"> Web </t>
    </r>
    <r>
      <rPr>
        <b/>
        <sz val="9"/>
        <rFont val="돋움"/>
        <family val="3"/>
        <charset val="129"/>
      </rPr>
      <t>판폭두께비</t>
    </r>
    <phoneticPr fontId="2" type="noConversion"/>
  </si>
  <si>
    <r>
      <t xml:space="preserve"> Flange </t>
    </r>
    <r>
      <rPr>
        <b/>
        <sz val="9"/>
        <rFont val="돋움"/>
        <family val="3"/>
        <charset val="129"/>
      </rPr>
      <t>판폭두께비</t>
    </r>
    <phoneticPr fontId="2" type="noConversion"/>
  </si>
  <si>
    <t xml:space="preserve">  A</t>
    <phoneticPr fontId="2" type="noConversion"/>
  </si>
  <si>
    <t xml:space="preserve">3) FRAME ANALYSIS </t>
    <phoneticPr fontId="2" type="noConversion"/>
  </si>
  <si>
    <r>
      <t>R</t>
    </r>
    <r>
      <rPr>
        <b/>
        <i/>
        <vertAlign val="subscript"/>
        <sz val="9"/>
        <rFont val="Times New Roman"/>
        <family val="1"/>
      </rPr>
      <t>A</t>
    </r>
    <phoneticPr fontId="2" type="noConversion"/>
  </si>
  <si>
    <r>
      <t>R</t>
    </r>
    <r>
      <rPr>
        <b/>
        <i/>
        <vertAlign val="subscript"/>
        <sz val="9"/>
        <rFont val="Times New Roman"/>
        <family val="1"/>
      </rPr>
      <t>B</t>
    </r>
    <phoneticPr fontId="2" type="noConversion"/>
  </si>
  <si>
    <r>
      <t>M</t>
    </r>
    <r>
      <rPr>
        <b/>
        <i/>
        <vertAlign val="subscript"/>
        <sz val="9"/>
        <rFont val="Times New Roman"/>
        <family val="1"/>
      </rPr>
      <t>B</t>
    </r>
    <phoneticPr fontId="2" type="noConversion"/>
  </si>
  <si>
    <r>
      <t xml:space="preserve">w </t>
    </r>
    <r>
      <rPr>
        <b/>
        <sz val="9"/>
        <rFont val="Times New Roman"/>
        <family val="1"/>
      </rPr>
      <t>(</t>
    </r>
    <r>
      <rPr>
        <b/>
        <i/>
        <sz val="9"/>
        <rFont val="Times New Roman"/>
        <family val="1"/>
      </rPr>
      <t xml:space="preserve"> L</t>
    </r>
    <r>
      <rPr>
        <b/>
        <i/>
        <vertAlign val="superscript"/>
        <sz val="9"/>
        <rFont val="Times New Roman"/>
        <family val="1"/>
      </rPr>
      <t>2</t>
    </r>
    <r>
      <rPr>
        <b/>
        <i/>
        <sz val="9"/>
        <rFont val="Times New Roman"/>
        <family val="1"/>
      </rPr>
      <t xml:space="preserve"> - a</t>
    </r>
    <r>
      <rPr>
        <b/>
        <i/>
        <vertAlign val="superscript"/>
        <sz val="9"/>
        <rFont val="Times New Roman"/>
        <family val="1"/>
      </rPr>
      <t>2</t>
    </r>
    <r>
      <rPr>
        <b/>
        <i/>
        <sz val="9"/>
        <rFont val="Times New Roman"/>
        <family val="1"/>
      </rPr>
      <t xml:space="preserve"> </t>
    </r>
    <r>
      <rPr>
        <b/>
        <sz val="9"/>
        <rFont val="Times New Roman"/>
        <family val="1"/>
      </rPr>
      <t>)</t>
    </r>
    <r>
      <rPr>
        <b/>
        <i/>
        <sz val="9"/>
        <rFont val="Times New Roman"/>
        <family val="1"/>
      </rPr>
      <t xml:space="preserve"> / </t>
    </r>
    <r>
      <rPr>
        <b/>
        <sz val="9"/>
        <rFont val="Times New Roman"/>
        <family val="1"/>
      </rPr>
      <t>(</t>
    </r>
    <r>
      <rPr>
        <b/>
        <i/>
        <sz val="9"/>
        <rFont val="Times New Roman"/>
        <family val="1"/>
      </rPr>
      <t xml:space="preserve"> 2 L </t>
    </r>
    <r>
      <rPr>
        <b/>
        <sz val="9"/>
        <rFont val="Times New Roman"/>
        <family val="1"/>
      </rPr>
      <t>)</t>
    </r>
    <phoneticPr fontId="2" type="noConversion"/>
  </si>
  <si>
    <r>
      <t xml:space="preserve">w </t>
    </r>
    <r>
      <rPr>
        <b/>
        <sz val="9"/>
        <rFont val="Times New Roman"/>
        <family val="1"/>
      </rPr>
      <t>(</t>
    </r>
    <r>
      <rPr>
        <b/>
        <i/>
        <sz val="9"/>
        <rFont val="Times New Roman"/>
        <family val="1"/>
      </rPr>
      <t xml:space="preserve"> L + a </t>
    </r>
    <r>
      <rPr>
        <b/>
        <sz val="9"/>
        <rFont val="Times New Roman"/>
        <family val="1"/>
      </rPr>
      <t>)</t>
    </r>
    <r>
      <rPr>
        <b/>
        <i/>
        <vertAlign val="superscript"/>
        <sz val="9"/>
        <rFont val="Times New Roman"/>
        <family val="1"/>
      </rPr>
      <t>2</t>
    </r>
    <r>
      <rPr>
        <b/>
        <i/>
        <sz val="9"/>
        <rFont val="Times New Roman"/>
        <family val="1"/>
      </rPr>
      <t xml:space="preserve"> / </t>
    </r>
    <r>
      <rPr>
        <b/>
        <sz val="9"/>
        <rFont val="Times New Roman"/>
        <family val="1"/>
      </rPr>
      <t>(</t>
    </r>
    <r>
      <rPr>
        <b/>
        <i/>
        <sz val="9"/>
        <rFont val="Times New Roman"/>
        <family val="1"/>
      </rPr>
      <t xml:space="preserve"> 2 L </t>
    </r>
    <r>
      <rPr>
        <b/>
        <sz val="9"/>
        <rFont val="Times New Roman"/>
        <family val="1"/>
      </rPr>
      <t>)</t>
    </r>
    <phoneticPr fontId="2" type="noConversion"/>
  </si>
  <si>
    <r>
      <t>w a</t>
    </r>
    <r>
      <rPr>
        <b/>
        <i/>
        <vertAlign val="superscript"/>
        <sz val="9"/>
        <rFont val="Times New Roman"/>
        <family val="1"/>
      </rPr>
      <t>2</t>
    </r>
    <r>
      <rPr>
        <b/>
        <i/>
        <sz val="9"/>
        <rFont val="Times New Roman"/>
        <family val="1"/>
      </rPr>
      <t xml:space="preserve"> / 2</t>
    </r>
    <phoneticPr fontId="2" type="noConversion"/>
  </si>
  <si>
    <t>(1) FORMULARS TO CALCULATION</t>
    <phoneticPr fontId="2" type="noConversion"/>
  </si>
  <si>
    <t>(2) INPUT DATA</t>
    <phoneticPr fontId="2" type="noConversion"/>
  </si>
  <si>
    <t>L</t>
    <phoneticPr fontId="2" type="noConversion"/>
  </si>
  <si>
    <t>E</t>
    <phoneticPr fontId="2" type="noConversion"/>
  </si>
  <si>
    <t>Modulus of Elasticity</t>
    <phoneticPr fontId="2" type="noConversion"/>
  </si>
  <si>
    <t>Moment of Inertia</t>
    <phoneticPr fontId="2" type="noConversion"/>
  </si>
  <si>
    <t>Lineal Load</t>
    <phoneticPr fontId="2" type="noConversion"/>
  </si>
  <si>
    <r>
      <t>Span</t>
    </r>
    <r>
      <rPr>
        <b/>
        <i/>
        <vertAlign val="subscript"/>
        <sz val="9"/>
        <rFont val="Times New Roman"/>
        <family val="1"/>
      </rPr>
      <t>3</t>
    </r>
    <r>
      <rPr>
        <b/>
        <i/>
        <sz val="9"/>
        <rFont val="Times New Roman"/>
        <family val="1"/>
      </rPr>
      <t xml:space="preserve"> </t>
    </r>
    <r>
      <rPr>
        <b/>
        <sz val="9"/>
        <rFont val="Times New Roman"/>
        <family val="1"/>
      </rPr>
      <t xml:space="preserve">( </t>
    </r>
    <r>
      <rPr>
        <b/>
        <i/>
        <sz val="9"/>
        <rFont val="Times New Roman"/>
        <family val="1"/>
      </rPr>
      <t>E.J ~ Anchor</t>
    </r>
    <r>
      <rPr>
        <b/>
        <sz val="9"/>
        <rFont val="Times New Roman"/>
        <family val="1"/>
      </rPr>
      <t xml:space="preserve"> )</t>
    </r>
    <phoneticPr fontId="2" type="noConversion"/>
  </si>
  <si>
    <r>
      <t>Span</t>
    </r>
    <r>
      <rPr>
        <b/>
        <i/>
        <vertAlign val="subscript"/>
        <sz val="9"/>
        <rFont val="Times New Roman"/>
        <family val="1"/>
      </rPr>
      <t>2</t>
    </r>
    <r>
      <rPr>
        <b/>
        <i/>
        <sz val="9"/>
        <rFont val="Times New Roman"/>
        <family val="1"/>
      </rPr>
      <t xml:space="preserve"> </t>
    </r>
    <r>
      <rPr>
        <b/>
        <sz val="9"/>
        <rFont val="Times New Roman"/>
        <family val="1"/>
      </rPr>
      <t xml:space="preserve">( </t>
    </r>
    <r>
      <rPr>
        <b/>
        <i/>
        <sz val="9"/>
        <rFont val="Times New Roman"/>
        <family val="1"/>
      </rPr>
      <t>Anchor ~ E.J</t>
    </r>
    <r>
      <rPr>
        <b/>
        <sz val="9"/>
        <rFont val="Times New Roman"/>
        <family val="1"/>
      </rPr>
      <t xml:space="preserve"> )</t>
    </r>
    <phoneticPr fontId="2" type="noConversion"/>
  </si>
  <si>
    <t>:</t>
    <phoneticPr fontId="2" type="noConversion"/>
  </si>
  <si>
    <t>Reaction Force</t>
    <phoneticPr fontId="2" type="noConversion"/>
  </si>
  <si>
    <t>Bending Moment</t>
    <phoneticPr fontId="2" type="noConversion"/>
  </si>
  <si>
    <t>Max. Deflection</t>
    <phoneticPr fontId="2" type="noConversion"/>
  </si>
  <si>
    <t>(3) OUTPUT DATA</t>
    <phoneticPr fontId="2" type="noConversion"/>
  </si>
  <si>
    <r>
      <t>R</t>
    </r>
    <r>
      <rPr>
        <b/>
        <i/>
        <vertAlign val="subscript"/>
        <sz val="9"/>
        <rFont val="Times New Roman"/>
        <family val="1"/>
      </rPr>
      <t>A</t>
    </r>
    <r>
      <rPr>
        <b/>
        <sz val="11"/>
        <rFont val="한컴바탕"/>
        <family val="1"/>
        <charset val="129"/>
      </rPr>
      <t/>
    </r>
    <phoneticPr fontId="2" type="noConversion"/>
  </si>
  <si>
    <r>
      <t>M</t>
    </r>
    <r>
      <rPr>
        <b/>
        <i/>
        <vertAlign val="subscript"/>
        <sz val="9"/>
        <rFont val="Times New Roman"/>
        <family val="1"/>
      </rPr>
      <t>B</t>
    </r>
    <r>
      <rPr>
        <b/>
        <sz val="11"/>
        <rFont val="한컴바탕"/>
        <family val="1"/>
        <charset val="129"/>
      </rPr>
      <t/>
    </r>
    <phoneticPr fontId="2" type="noConversion"/>
  </si>
  <si>
    <r>
      <t>M</t>
    </r>
    <r>
      <rPr>
        <b/>
        <i/>
        <vertAlign val="subscript"/>
        <sz val="9"/>
        <rFont val="Times New Roman"/>
        <family val="1"/>
      </rPr>
      <t>MAX1</t>
    </r>
    <phoneticPr fontId="2" type="noConversion"/>
  </si>
  <si>
    <r>
      <t>Δ</t>
    </r>
    <r>
      <rPr>
        <b/>
        <i/>
        <vertAlign val="subscript"/>
        <sz val="9"/>
        <rFont val="Times New Roman"/>
        <family val="1"/>
      </rPr>
      <t>C1</t>
    </r>
    <phoneticPr fontId="2" type="noConversion"/>
  </si>
  <si>
    <r>
      <t>Δ</t>
    </r>
    <r>
      <rPr>
        <b/>
        <i/>
        <vertAlign val="subscript"/>
        <sz val="9"/>
        <rFont val="Times New Roman"/>
        <family val="1"/>
      </rPr>
      <t>MAX1</t>
    </r>
    <phoneticPr fontId="2" type="noConversion"/>
  </si>
  <si>
    <r>
      <t>w a</t>
    </r>
    <r>
      <rPr>
        <b/>
        <i/>
        <vertAlign val="superscript"/>
        <sz val="9"/>
        <color indexed="8"/>
        <rFont val="Times New Roman"/>
        <family val="1"/>
      </rPr>
      <t>2</t>
    </r>
    <r>
      <rPr>
        <b/>
        <i/>
        <sz val="9"/>
        <color indexed="8"/>
        <rFont val="Times New Roman"/>
        <family val="1"/>
      </rPr>
      <t xml:space="preserve"> / 2</t>
    </r>
    <phoneticPr fontId="2" type="noConversion"/>
  </si>
  <si>
    <r>
      <t>x</t>
    </r>
    <r>
      <rPr>
        <b/>
        <vertAlign val="subscript"/>
        <sz val="9"/>
        <rFont val="Times New Roman"/>
        <family val="1"/>
      </rPr>
      <t>1</t>
    </r>
    <phoneticPr fontId="2" type="noConversion"/>
  </si>
  <si>
    <r>
      <t xml:space="preserve">w </t>
    </r>
    <r>
      <rPr>
        <b/>
        <sz val="9"/>
        <rFont val="Times New Roman"/>
        <family val="1"/>
      </rPr>
      <t>(</t>
    </r>
    <r>
      <rPr>
        <b/>
        <i/>
        <sz val="9"/>
        <rFont val="Times New Roman"/>
        <family val="1"/>
      </rPr>
      <t xml:space="preserve"> L</t>
    </r>
    <r>
      <rPr>
        <b/>
        <i/>
        <vertAlign val="superscript"/>
        <sz val="9"/>
        <rFont val="Times New Roman"/>
        <family val="1"/>
      </rPr>
      <t>2</t>
    </r>
    <r>
      <rPr>
        <b/>
        <i/>
        <sz val="9"/>
        <rFont val="Times New Roman"/>
        <family val="1"/>
      </rPr>
      <t xml:space="preserve"> - a</t>
    </r>
    <r>
      <rPr>
        <b/>
        <i/>
        <vertAlign val="superscript"/>
        <sz val="9"/>
        <rFont val="Times New Roman"/>
        <family val="1"/>
      </rPr>
      <t xml:space="preserve">2 </t>
    </r>
    <r>
      <rPr>
        <b/>
        <sz val="9"/>
        <rFont val="Times New Roman"/>
        <family val="1"/>
      </rPr>
      <t>)</t>
    </r>
    <r>
      <rPr>
        <b/>
        <i/>
        <sz val="9"/>
        <rFont val="Times New Roman"/>
        <family val="1"/>
      </rPr>
      <t xml:space="preserve"> / </t>
    </r>
    <r>
      <rPr>
        <b/>
        <sz val="9"/>
        <rFont val="Times New Roman"/>
        <family val="1"/>
      </rPr>
      <t>(</t>
    </r>
    <r>
      <rPr>
        <b/>
        <i/>
        <sz val="9"/>
        <rFont val="Times New Roman"/>
        <family val="1"/>
      </rPr>
      <t xml:space="preserve"> 2 L </t>
    </r>
    <r>
      <rPr>
        <b/>
        <sz val="9"/>
        <rFont val="Times New Roman"/>
        <family val="1"/>
      </rPr>
      <t>)</t>
    </r>
    <phoneticPr fontId="2" type="noConversion"/>
  </si>
  <si>
    <r>
      <t xml:space="preserve">w </t>
    </r>
    <r>
      <rPr>
        <b/>
        <sz val="9"/>
        <color indexed="8"/>
        <rFont val="Times New Roman"/>
        <family val="1"/>
      </rPr>
      <t>(</t>
    </r>
    <r>
      <rPr>
        <b/>
        <i/>
        <sz val="9"/>
        <color indexed="8"/>
        <rFont val="Times New Roman"/>
        <family val="1"/>
      </rPr>
      <t xml:space="preserve"> L + a </t>
    </r>
    <r>
      <rPr>
        <b/>
        <sz val="9"/>
        <color indexed="8"/>
        <rFont val="Times New Roman"/>
        <family val="1"/>
      </rPr>
      <t>)</t>
    </r>
    <r>
      <rPr>
        <b/>
        <i/>
        <vertAlign val="superscript"/>
        <sz val="9"/>
        <color indexed="8"/>
        <rFont val="Times New Roman"/>
        <family val="1"/>
      </rPr>
      <t>2</t>
    </r>
    <r>
      <rPr>
        <b/>
        <i/>
        <sz val="9"/>
        <color indexed="8"/>
        <rFont val="Times New Roman"/>
        <family val="1"/>
      </rPr>
      <t xml:space="preserve"> / </t>
    </r>
    <r>
      <rPr>
        <b/>
        <sz val="9"/>
        <color indexed="8"/>
        <rFont val="Times New Roman"/>
        <family val="1"/>
      </rPr>
      <t>(</t>
    </r>
    <r>
      <rPr>
        <b/>
        <i/>
        <sz val="9"/>
        <color indexed="8"/>
        <rFont val="Times New Roman"/>
        <family val="1"/>
      </rPr>
      <t xml:space="preserve"> 2 L </t>
    </r>
    <r>
      <rPr>
        <b/>
        <sz val="9"/>
        <color indexed="8"/>
        <rFont val="Times New Roman"/>
        <family val="1"/>
      </rPr>
      <t>)</t>
    </r>
    <phoneticPr fontId="2" type="noConversion"/>
  </si>
  <si>
    <r>
      <rPr>
        <b/>
        <sz val="9"/>
        <color indexed="8"/>
        <rFont val="Times New Roman"/>
        <family val="1"/>
      </rPr>
      <t>(</t>
    </r>
    <r>
      <rPr>
        <b/>
        <i/>
        <sz val="9"/>
        <color indexed="8"/>
        <rFont val="Times New Roman"/>
        <family val="1"/>
      </rPr>
      <t xml:space="preserve"> R</t>
    </r>
    <r>
      <rPr>
        <b/>
        <i/>
        <vertAlign val="subscript"/>
        <sz val="9"/>
        <color indexed="8"/>
        <rFont val="Times New Roman"/>
        <family val="1"/>
      </rPr>
      <t>A</t>
    </r>
    <r>
      <rPr>
        <b/>
        <i/>
        <sz val="9"/>
        <color indexed="8"/>
        <rFont val="Times New Roman"/>
        <family val="1"/>
      </rPr>
      <t xml:space="preserve"> * x</t>
    </r>
    <r>
      <rPr>
        <b/>
        <i/>
        <vertAlign val="subscript"/>
        <sz val="9"/>
        <color indexed="8"/>
        <rFont val="Times New Roman"/>
        <family val="1"/>
      </rPr>
      <t>1</t>
    </r>
    <r>
      <rPr>
        <b/>
        <i/>
        <sz val="9"/>
        <color indexed="8"/>
        <rFont val="Times New Roman"/>
        <family val="1"/>
      </rPr>
      <t xml:space="preserve"> </t>
    </r>
    <r>
      <rPr>
        <b/>
        <sz val="9"/>
        <color indexed="8"/>
        <rFont val="Times New Roman"/>
        <family val="1"/>
      </rPr>
      <t>)</t>
    </r>
    <r>
      <rPr>
        <b/>
        <i/>
        <sz val="9"/>
        <color indexed="8"/>
        <rFont val="Times New Roman"/>
        <family val="1"/>
      </rPr>
      <t xml:space="preserve"> - </t>
    </r>
    <r>
      <rPr>
        <b/>
        <sz val="9"/>
        <color indexed="8"/>
        <rFont val="Times New Roman"/>
        <family val="1"/>
      </rPr>
      <t>(</t>
    </r>
    <r>
      <rPr>
        <b/>
        <i/>
        <sz val="9"/>
        <color indexed="8"/>
        <rFont val="Times New Roman"/>
        <family val="1"/>
      </rPr>
      <t xml:space="preserve"> wx</t>
    </r>
    <r>
      <rPr>
        <b/>
        <i/>
        <vertAlign val="subscript"/>
        <sz val="9"/>
        <color indexed="8"/>
        <rFont val="Times New Roman"/>
        <family val="1"/>
      </rPr>
      <t>1</t>
    </r>
    <r>
      <rPr>
        <b/>
        <i/>
        <vertAlign val="superscript"/>
        <sz val="9"/>
        <color indexed="8"/>
        <rFont val="Times New Roman"/>
        <family val="1"/>
      </rPr>
      <t>2</t>
    </r>
    <r>
      <rPr>
        <b/>
        <i/>
        <sz val="9"/>
        <color indexed="8"/>
        <rFont val="Times New Roman"/>
        <family val="1"/>
      </rPr>
      <t xml:space="preserve"> / 2 </t>
    </r>
    <r>
      <rPr>
        <b/>
        <sz val="9"/>
        <color indexed="8"/>
        <rFont val="Times New Roman"/>
        <family val="1"/>
      </rPr>
      <t>)</t>
    </r>
    <phoneticPr fontId="2" type="noConversion"/>
  </si>
  <si>
    <r>
      <rPr>
        <b/>
        <sz val="9"/>
        <color indexed="8"/>
        <rFont val="Times New Roman"/>
        <family val="1"/>
      </rPr>
      <t>(</t>
    </r>
    <r>
      <rPr>
        <b/>
        <i/>
        <sz val="9"/>
        <color indexed="8"/>
        <rFont val="Times New Roman"/>
        <family val="1"/>
      </rPr>
      <t xml:space="preserve"> wa</t>
    </r>
    <r>
      <rPr>
        <b/>
        <i/>
        <vertAlign val="superscript"/>
        <sz val="9"/>
        <color indexed="8"/>
        <rFont val="Times New Roman"/>
        <family val="1"/>
      </rPr>
      <t>4</t>
    </r>
    <r>
      <rPr>
        <b/>
        <i/>
        <sz val="9"/>
        <color indexed="8"/>
        <rFont val="Times New Roman"/>
        <family val="1"/>
      </rPr>
      <t xml:space="preserve"> / 8 EI </t>
    </r>
    <r>
      <rPr>
        <b/>
        <sz val="9"/>
        <color indexed="8"/>
        <rFont val="Times New Roman"/>
        <family val="1"/>
      </rPr>
      <t>)</t>
    </r>
    <r>
      <rPr>
        <b/>
        <i/>
        <sz val="9"/>
        <color indexed="8"/>
        <rFont val="Times New Roman"/>
        <family val="1"/>
      </rPr>
      <t xml:space="preserve"> + </t>
    </r>
    <r>
      <rPr>
        <b/>
        <sz val="9"/>
        <color indexed="8"/>
        <rFont val="Times New Roman"/>
        <family val="1"/>
      </rPr>
      <t>( (</t>
    </r>
    <r>
      <rPr>
        <b/>
        <i/>
        <sz val="9"/>
        <color indexed="8"/>
        <rFont val="Times New Roman"/>
        <family val="1"/>
      </rPr>
      <t xml:space="preserve"> w L a </t>
    </r>
    <r>
      <rPr>
        <b/>
        <sz val="9"/>
        <color indexed="8"/>
        <rFont val="Times New Roman"/>
        <family val="1"/>
      </rPr>
      <t>(</t>
    </r>
    <r>
      <rPr>
        <b/>
        <i/>
        <sz val="9"/>
        <color indexed="8"/>
        <rFont val="Times New Roman"/>
        <family val="1"/>
      </rPr>
      <t xml:space="preserve"> 4a</t>
    </r>
    <r>
      <rPr>
        <b/>
        <i/>
        <vertAlign val="superscript"/>
        <sz val="9"/>
        <color indexed="8"/>
        <rFont val="Times New Roman"/>
        <family val="1"/>
      </rPr>
      <t>2</t>
    </r>
    <r>
      <rPr>
        <b/>
        <i/>
        <sz val="9"/>
        <color indexed="8"/>
        <rFont val="Times New Roman"/>
        <family val="1"/>
      </rPr>
      <t xml:space="preserve"> - L</t>
    </r>
    <r>
      <rPr>
        <b/>
        <i/>
        <vertAlign val="superscript"/>
        <sz val="9"/>
        <color indexed="8"/>
        <rFont val="Times New Roman"/>
        <family val="1"/>
      </rPr>
      <t xml:space="preserve">2 </t>
    </r>
    <r>
      <rPr>
        <b/>
        <i/>
        <sz val="9"/>
        <color indexed="8"/>
        <rFont val="Times New Roman"/>
        <family val="1"/>
      </rPr>
      <t xml:space="preserve">) </t>
    </r>
    <r>
      <rPr>
        <b/>
        <sz val="9"/>
        <color indexed="8"/>
        <rFont val="Times New Roman"/>
        <family val="1"/>
      </rPr>
      <t>)</t>
    </r>
    <r>
      <rPr>
        <b/>
        <i/>
        <sz val="9"/>
        <color indexed="8"/>
        <rFont val="Times New Roman"/>
        <family val="1"/>
      </rPr>
      <t xml:space="preserve"> /  24 EI </t>
    </r>
    <r>
      <rPr>
        <b/>
        <sz val="9"/>
        <color indexed="8"/>
        <rFont val="Times New Roman"/>
        <family val="1"/>
      </rPr>
      <t>)</t>
    </r>
    <phoneticPr fontId="2" type="noConversion"/>
  </si>
  <si>
    <r>
      <rPr>
        <b/>
        <sz val="9"/>
        <color indexed="8"/>
        <rFont val="Times New Roman"/>
        <family val="1"/>
      </rPr>
      <t>(</t>
    </r>
    <r>
      <rPr>
        <b/>
        <i/>
        <sz val="9"/>
        <color indexed="8"/>
        <rFont val="Times New Roman"/>
        <family val="1"/>
      </rPr>
      <t xml:space="preserve"> 5 wL</t>
    </r>
    <r>
      <rPr>
        <b/>
        <i/>
        <vertAlign val="superscript"/>
        <sz val="9"/>
        <color indexed="8"/>
        <rFont val="Times New Roman"/>
        <family val="1"/>
      </rPr>
      <t>4</t>
    </r>
    <r>
      <rPr>
        <b/>
        <i/>
        <sz val="9"/>
        <color indexed="8"/>
        <rFont val="Times New Roman"/>
        <family val="1"/>
      </rPr>
      <t xml:space="preserve"> / 384 EI </t>
    </r>
    <r>
      <rPr>
        <b/>
        <sz val="9"/>
        <color indexed="8"/>
        <rFont val="Times New Roman"/>
        <family val="1"/>
      </rPr>
      <t>)</t>
    </r>
    <r>
      <rPr>
        <b/>
        <i/>
        <sz val="9"/>
        <color indexed="8"/>
        <rFont val="Times New Roman"/>
        <family val="1"/>
      </rPr>
      <t xml:space="preserve"> - </t>
    </r>
    <r>
      <rPr>
        <b/>
        <sz val="9"/>
        <color indexed="8"/>
        <rFont val="Times New Roman"/>
        <family val="1"/>
      </rPr>
      <t>(</t>
    </r>
    <r>
      <rPr>
        <b/>
        <i/>
        <sz val="9"/>
        <color indexed="8"/>
        <rFont val="Times New Roman"/>
        <family val="1"/>
      </rPr>
      <t xml:space="preserve"> M</t>
    </r>
    <r>
      <rPr>
        <b/>
        <i/>
        <vertAlign val="subscript"/>
        <sz val="9"/>
        <color indexed="8"/>
        <rFont val="Times New Roman"/>
        <family val="1"/>
      </rPr>
      <t xml:space="preserve">B </t>
    </r>
    <r>
      <rPr>
        <b/>
        <i/>
        <sz val="9"/>
        <color indexed="8"/>
        <rFont val="Times New Roman"/>
        <family val="1"/>
      </rPr>
      <t>L</t>
    </r>
    <r>
      <rPr>
        <b/>
        <i/>
        <vertAlign val="superscript"/>
        <sz val="9"/>
        <color indexed="8"/>
        <rFont val="Times New Roman"/>
        <family val="1"/>
      </rPr>
      <t>2</t>
    </r>
    <r>
      <rPr>
        <b/>
        <i/>
        <sz val="9"/>
        <color indexed="8"/>
        <rFont val="Times New Roman"/>
        <family val="1"/>
      </rPr>
      <t xml:space="preserve"> / 16 EI </t>
    </r>
    <r>
      <rPr>
        <b/>
        <sz val="9"/>
        <color indexed="8"/>
        <rFont val="Times New Roman"/>
        <family val="1"/>
      </rPr>
      <t>)</t>
    </r>
    <phoneticPr fontId="2" type="noConversion"/>
  </si>
  <si>
    <r>
      <t>P</t>
    </r>
    <r>
      <rPr>
        <b/>
        <i/>
        <vertAlign val="subscript"/>
        <sz val="9"/>
        <color indexed="8"/>
        <rFont val="Times New Roman"/>
        <family val="1"/>
      </rPr>
      <t>0</t>
    </r>
    <phoneticPr fontId="2" type="noConversion"/>
  </si>
  <si>
    <r>
      <t xml:space="preserve">Nodal Load </t>
    </r>
    <r>
      <rPr>
        <b/>
        <sz val="9"/>
        <rFont val="Times New Roman"/>
        <family val="1"/>
      </rPr>
      <t xml:space="preserve">( </t>
    </r>
    <r>
      <rPr>
        <b/>
        <i/>
        <sz val="9"/>
        <rFont val="Times New Roman"/>
        <family val="1"/>
      </rPr>
      <t>CASE 1 , = R</t>
    </r>
    <r>
      <rPr>
        <b/>
        <vertAlign val="subscript"/>
        <sz val="9"/>
        <rFont val="Times New Roman"/>
        <family val="1"/>
      </rPr>
      <t>A</t>
    </r>
    <r>
      <rPr>
        <b/>
        <sz val="9"/>
        <rFont val="Times New Roman"/>
        <family val="1"/>
      </rPr>
      <t xml:space="preserve"> )</t>
    </r>
    <phoneticPr fontId="2" type="noConversion"/>
  </si>
  <si>
    <r>
      <t>M</t>
    </r>
    <r>
      <rPr>
        <b/>
        <i/>
        <vertAlign val="subscript"/>
        <sz val="9"/>
        <rFont val="Times New Roman"/>
        <family val="1"/>
      </rPr>
      <t>x1</t>
    </r>
    <phoneticPr fontId="2" type="noConversion"/>
  </si>
  <si>
    <r>
      <t>Δ</t>
    </r>
    <r>
      <rPr>
        <b/>
        <i/>
        <vertAlign val="subscript"/>
        <sz val="9"/>
        <rFont val="Times New Roman"/>
        <family val="1"/>
      </rPr>
      <t>MAX</t>
    </r>
    <phoneticPr fontId="2" type="noConversion"/>
  </si>
  <si>
    <t>P * a</t>
    <phoneticPr fontId="2" type="noConversion"/>
  </si>
  <si>
    <r>
      <rPr>
        <b/>
        <sz val="9"/>
        <rFont val="Times New Roman"/>
        <family val="1"/>
      </rPr>
      <t>(</t>
    </r>
    <r>
      <rPr>
        <b/>
        <i/>
        <sz val="9"/>
        <rFont val="Times New Roman"/>
        <family val="1"/>
      </rPr>
      <t xml:space="preserve"> P * a </t>
    </r>
    <r>
      <rPr>
        <b/>
        <sz val="9"/>
        <rFont val="Times New Roman"/>
        <family val="1"/>
      </rPr>
      <t>)</t>
    </r>
    <r>
      <rPr>
        <b/>
        <i/>
        <sz val="9"/>
        <rFont val="Times New Roman"/>
        <family val="1"/>
      </rPr>
      <t xml:space="preserve"> * </t>
    </r>
    <r>
      <rPr>
        <b/>
        <sz val="9"/>
        <rFont val="Times New Roman"/>
        <family val="1"/>
      </rPr>
      <t>(</t>
    </r>
    <r>
      <rPr>
        <b/>
        <i/>
        <sz val="9"/>
        <rFont val="Times New Roman"/>
        <family val="1"/>
      </rPr>
      <t xml:space="preserve"> x</t>
    </r>
    <r>
      <rPr>
        <b/>
        <i/>
        <vertAlign val="subscript"/>
        <sz val="9"/>
        <rFont val="Times New Roman"/>
        <family val="1"/>
      </rPr>
      <t>1</t>
    </r>
    <r>
      <rPr>
        <b/>
        <i/>
        <sz val="9"/>
        <rFont val="Times New Roman"/>
        <family val="1"/>
      </rPr>
      <t xml:space="preserve"> / L </t>
    </r>
    <r>
      <rPr>
        <b/>
        <sz val="9"/>
        <rFont val="Times New Roman"/>
        <family val="1"/>
      </rPr>
      <t>)</t>
    </r>
    <phoneticPr fontId="2" type="noConversion"/>
  </si>
  <si>
    <r>
      <rPr>
        <b/>
        <sz val="9"/>
        <rFont val="Times New Roman"/>
        <family val="1"/>
      </rPr>
      <t>(</t>
    </r>
    <r>
      <rPr>
        <b/>
        <i/>
        <sz val="9"/>
        <rFont val="Times New Roman"/>
        <family val="1"/>
      </rPr>
      <t xml:space="preserve"> 0.0642 P a * L</t>
    </r>
    <r>
      <rPr>
        <b/>
        <i/>
        <vertAlign val="superscript"/>
        <sz val="9"/>
        <rFont val="Times New Roman"/>
        <family val="1"/>
      </rPr>
      <t>2</t>
    </r>
    <r>
      <rPr>
        <b/>
        <i/>
        <sz val="9"/>
        <rFont val="Times New Roman"/>
        <family val="1"/>
      </rPr>
      <t xml:space="preserve"> / EI </t>
    </r>
    <r>
      <rPr>
        <b/>
        <sz val="9"/>
        <rFont val="Times New Roman"/>
        <family val="1"/>
      </rPr>
      <t>)</t>
    </r>
    <phoneticPr fontId="2" type="noConversion"/>
  </si>
  <si>
    <r>
      <rPr>
        <b/>
        <sz val="9"/>
        <rFont val="Times New Roman"/>
        <family val="1"/>
      </rPr>
      <t>(</t>
    </r>
    <r>
      <rPr>
        <b/>
        <i/>
        <sz val="9"/>
        <rFont val="Times New Roman"/>
        <family val="1"/>
      </rPr>
      <t xml:space="preserve"> x</t>
    </r>
    <r>
      <rPr>
        <b/>
        <i/>
        <vertAlign val="subscript"/>
        <sz val="9"/>
        <rFont val="Times New Roman"/>
        <family val="1"/>
      </rPr>
      <t>1</t>
    </r>
    <r>
      <rPr>
        <b/>
        <i/>
        <sz val="9"/>
        <rFont val="Times New Roman"/>
        <family val="1"/>
      </rPr>
      <t xml:space="preserve"> = L /</t>
    </r>
    <r>
      <rPr>
        <b/>
        <sz val="9"/>
        <rFont val="한컴돋움"/>
        <family val="1"/>
        <charset val="129"/>
      </rPr>
      <t>√</t>
    </r>
    <r>
      <rPr>
        <b/>
        <i/>
        <sz val="9"/>
        <rFont val="Times New Roman"/>
        <family val="1"/>
      </rPr>
      <t xml:space="preserve">3 </t>
    </r>
    <r>
      <rPr>
        <b/>
        <sz val="9"/>
        <rFont val="Times New Roman"/>
        <family val="1"/>
      </rPr>
      <t>)</t>
    </r>
    <phoneticPr fontId="2" type="noConversion"/>
  </si>
  <si>
    <r>
      <t>x</t>
    </r>
    <r>
      <rPr>
        <b/>
        <i/>
        <vertAlign val="subscript"/>
        <sz val="9"/>
        <rFont val="Times New Roman"/>
        <family val="1"/>
      </rPr>
      <t>1</t>
    </r>
    <phoneticPr fontId="2" type="noConversion"/>
  </si>
  <si>
    <r>
      <t>Span, x</t>
    </r>
    <r>
      <rPr>
        <b/>
        <i/>
        <vertAlign val="subscript"/>
        <sz val="9"/>
        <rFont val="Times New Roman"/>
        <family val="1"/>
      </rPr>
      <t>1</t>
    </r>
    <r>
      <rPr>
        <b/>
        <i/>
        <sz val="9"/>
        <rFont val="Times New Roman"/>
        <family val="1"/>
      </rPr>
      <t xml:space="preserve">  </t>
    </r>
    <r>
      <rPr>
        <b/>
        <sz val="9"/>
        <rFont val="Times New Roman"/>
        <family val="1"/>
      </rPr>
      <t>:</t>
    </r>
    <r>
      <rPr>
        <b/>
        <i/>
        <sz val="9"/>
        <rFont val="Times New Roman"/>
        <family val="1"/>
      </rPr>
      <t xml:space="preserve">  </t>
    </r>
    <r>
      <rPr>
        <b/>
        <sz val="9"/>
        <rFont val="Times New Roman"/>
        <family val="1"/>
      </rPr>
      <t>(</t>
    </r>
    <r>
      <rPr>
        <b/>
        <i/>
        <sz val="9"/>
        <rFont val="Times New Roman"/>
        <family val="1"/>
      </rPr>
      <t xml:space="preserve"> L</t>
    </r>
    <r>
      <rPr>
        <b/>
        <i/>
        <vertAlign val="superscript"/>
        <sz val="9"/>
        <rFont val="Times New Roman"/>
        <family val="1"/>
      </rPr>
      <t>2</t>
    </r>
    <r>
      <rPr>
        <b/>
        <i/>
        <sz val="9"/>
        <rFont val="Times New Roman"/>
        <family val="1"/>
      </rPr>
      <t xml:space="preserve"> - a</t>
    </r>
    <r>
      <rPr>
        <b/>
        <i/>
        <vertAlign val="superscript"/>
        <sz val="9"/>
        <rFont val="Times New Roman"/>
        <family val="1"/>
      </rPr>
      <t xml:space="preserve">2 </t>
    </r>
    <r>
      <rPr>
        <b/>
        <sz val="9"/>
        <rFont val="Times New Roman"/>
        <family val="1"/>
      </rPr>
      <t>)</t>
    </r>
    <r>
      <rPr>
        <b/>
        <i/>
        <sz val="9"/>
        <rFont val="Times New Roman"/>
        <family val="1"/>
      </rPr>
      <t xml:space="preserve"> / </t>
    </r>
    <r>
      <rPr>
        <b/>
        <sz val="9"/>
        <rFont val="Times New Roman"/>
        <family val="1"/>
      </rPr>
      <t>(</t>
    </r>
    <r>
      <rPr>
        <b/>
        <i/>
        <sz val="9"/>
        <rFont val="Times New Roman"/>
        <family val="1"/>
      </rPr>
      <t xml:space="preserve"> 2 L </t>
    </r>
    <r>
      <rPr>
        <b/>
        <sz val="9"/>
        <rFont val="Times New Roman"/>
        <family val="1"/>
      </rPr>
      <t>)</t>
    </r>
    <phoneticPr fontId="2" type="noConversion"/>
  </si>
  <si>
    <r>
      <t xml:space="preserve">Nodal Load  </t>
    </r>
    <r>
      <rPr>
        <b/>
        <sz val="9"/>
        <rFont val="Times New Roman"/>
        <family val="1"/>
      </rPr>
      <t xml:space="preserve">( </t>
    </r>
    <r>
      <rPr>
        <b/>
        <i/>
        <sz val="9"/>
        <rFont val="Times New Roman"/>
        <family val="1"/>
      </rPr>
      <t>CASE 1 , = R</t>
    </r>
    <r>
      <rPr>
        <b/>
        <i/>
        <vertAlign val="subscript"/>
        <sz val="9"/>
        <rFont val="Times New Roman"/>
        <family val="1"/>
      </rPr>
      <t>A</t>
    </r>
    <r>
      <rPr>
        <b/>
        <sz val="9"/>
        <rFont val="Times New Roman"/>
        <family val="1"/>
      </rPr>
      <t xml:space="preserve"> )</t>
    </r>
    <phoneticPr fontId="2" type="noConversion"/>
  </si>
  <si>
    <r>
      <t xml:space="preserve">Nodal Load  </t>
    </r>
    <r>
      <rPr>
        <b/>
        <sz val="9"/>
        <rFont val="Times New Roman"/>
        <family val="1"/>
      </rPr>
      <t>(</t>
    </r>
    <r>
      <rPr>
        <b/>
        <i/>
        <sz val="9"/>
        <rFont val="Times New Roman"/>
        <family val="1"/>
      </rPr>
      <t xml:space="preserve"> P</t>
    </r>
    <r>
      <rPr>
        <b/>
        <i/>
        <vertAlign val="subscript"/>
        <sz val="9"/>
        <rFont val="Times New Roman"/>
        <family val="1"/>
      </rPr>
      <t>0</t>
    </r>
    <r>
      <rPr>
        <b/>
        <i/>
        <sz val="9"/>
        <rFont val="Times New Roman"/>
        <family val="1"/>
      </rPr>
      <t xml:space="preserve"> - R</t>
    </r>
    <r>
      <rPr>
        <b/>
        <i/>
        <vertAlign val="subscript"/>
        <sz val="9"/>
        <rFont val="Times New Roman"/>
        <family val="1"/>
      </rPr>
      <t xml:space="preserve">A </t>
    </r>
    <r>
      <rPr>
        <b/>
        <sz val="9"/>
        <rFont val="Times New Roman"/>
        <family val="1"/>
      </rPr>
      <t>)</t>
    </r>
    <phoneticPr fontId="2" type="noConversion"/>
  </si>
  <si>
    <r>
      <t>Δ</t>
    </r>
    <r>
      <rPr>
        <b/>
        <i/>
        <vertAlign val="subscript"/>
        <sz val="9"/>
        <rFont val="Times New Roman"/>
        <family val="1"/>
      </rPr>
      <t>MAX3</t>
    </r>
    <phoneticPr fontId="2" type="noConversion"/>
  </si>
  <si>
    <r>
      <t>Δ</t>
    </r>
    <r>
      <rPr>
        <b/>
        <i/>
        <vertAlign val="subscript"/>
        <sz val="9"/>
        <rFont val="Times New Roman"/>
        <family val="1"/>
      </rPr>
      <t>C3</t>
    </r>
    <phoneticPr fontId="2" type="noConversion"/>
  </si>
  <si>
    <r>
      <rPr>
        <b/>
        <sz val="9"/>
        <color indexed="8"/>
        <rFont val="Times New Roman"/>
        <family val="1"/>
      </rPr>
      <t>( (</t>
    </r>
    <r>
      <rPr>
        <b/>
        <i/>
        <sz val="9"/>
        <color indexed="8"/>
        <rFont val="Times New Roman"/>
        <family val="1"/>
      </rPr>
      <t xml:space="preserve"> P a</t>
    </r>
    <r>
      <rPr>
        <b/>
        <i/>
        <vertAlign val="superscript"/>
        <sz val="9"/>
        <color indexed="8"/>
        <rFont val="Times New Roman"/>
        <family val="1"/>
      </rPr>
      <t>2</t>
    </r>
    <r>
      <rPr>
        <b/>
        <i/>
        <sz val="9"/>
        <color indexed="8"/>
        <rFont val="Times New Roman"/>
        <family val="1"/>
      </rPr>
      <t xml:space="preserve"> </t>
    </r>
    <r>
      <rPr>
        <b/>
        <sz val="9"/>
        <color indexed="8"/>
        <rFont val="Times New Roman"/>
        <family val="1"/>
      </rPr>
      <t>(</t>
    </r>
    <r>
      <rPr>
        <b/>
        <i/>
        <sz val="9"/>
        <color indexed="8"/>
        <rFont val="Times New Roman"/>
        <family val="1"/>
      </rPr>
      <t xml:space="preserve"> L + a </t>
    </r>
    <r>
      <rPr>
        <b/>
        <sz val="9"/>
        <color indexed="8"/>
        <rFont val="Times New Roman"/>
        <family val="1"/>
      </rPr>
      <t>) )</t>
    </r>
    <r>
      <rPr>
        <b/>
        <i/>
        <sz val="9"/>
        <color indexed="8"/>
        <rFont val="Times New Roman"/>
        <family val="1"/>
      </rPr>
      <t xml:space="preserve"> / 3EI </t>
    </r>
    <r>
      <rPr>
        <b/>
        <sz val="9"/>
        <color indexed="8"/>
        <rFont val="Times New Roman"/>
        <family val="1"/>
      </rPr>
      <t>)</t>
    </r>
    <phoneticPr fontId="2" type="noConversion"/>
  </si>
  <si>
    <t>-. Actual Bending Stress</t>
    <phoneticPr fontId="3" type="noConversion"/>
  </si>
  <si>
    <t>-. Allowable Bending Stress</t>
    <phoneticPr fontId="3" type="noConversion"/>
  </si>
  <si>
    <r>
      <t>Z</t>
    </r>
    <r>
      <rPr>
        <b/>
        <i/>
        <vertAlign val="subscript"/>
        <sz val="9"/>
        <rFont val="Times New Roman"/>
        <family val="1"/>
      </rPr>
      <t>X</t>
    </r>
    <phoneticPr fontId="2" type="noConversion"/>
  </si>
  <si>
    <r>
      <t>f</t>
    </r>
    <r>
      <rPr>
        <b/>
        <i/>
        <vertAlign val="subscript"/>
        <sz val="9"/>
        <rFont val="Times New Roman"/>
        <family val="1"/>
      </rPr>
      <t>b</t>
    </r>
    <phoneticPr fontId="2" type="noConversion"/>
  </si>
  <si>
    <t>=</t>
    <phoneticPr fontId="2" type="noConversion"/>
  </si>
  <si>
    <t>Max. Bending Moment</t>
    <phoneticPr fontId="2" type="noConversion"/>
  </si>
  <si>
    <t>Section Modulus</t>
    <phoneticPr fontId="2" type="noConversion"/>
  </si>
  <si>
    <r>
      <t>F</t>
    </r>
    <r>
      <rPr>
        <b/>
        <i/>
        <vertAlign val="subscript"/>
        <sz val="9"/>
        <rFont val="Times New Roman"/>
        <family val="1"/>
      </rPr>
      <t>b</t>
    </r>
    <phoneticPr fontId="2" type="noConversion"/>
  </si>
  <si>
    <r>
      <t>F</t>
    </r>
    <r>
      <rPr>
        <b/>
        <i/>
        <vertAlign val="subscript"/>
        <sz val="9"/>
        <rFont val="Times New Roman"/>
        <family val="1"/>
      </rPr>
      <t>y</t>
    </r>
    <phoneticPr fontId="2" type="noConversion"/>
  </si>
  <si>
    <t>Short Term</t>
    <phoneticPr fontId="2" type="noConversion"/>
  </si>
  <si>
    <t>-. Check Stress Stability</t>
    <phoneticPr fontId="2" type="noConversion"/>
  </si>
  <si>
    <r>
      <t>f</t>
    </r>
    <r>
      <rPr>
        <b/>
        <i/>
        <vertAlign val="subscript"/>
        <sz val="9"/>
        <rFont val="Times New Roman"/>
        <family val="1"/>
      </rPr>
      <t xml:space="preserve">b  </t>
    </r>
    <r>
      <rPr>
        <b/>
        <i/>
        <sz val="9"/>
        <rFont val="Times New Roman"/>
        <family val="1"/>
      </rPr>
      <t>/ F</t>
    </r>
    <r>
      <rPr>
        <b/>
        <i/>
        <vertAlign val="subscript"/>
        <sz val="9"/>
        <rFont val="Times New Roman"/>
        <family val="1"/>
      </rPr>
      <t>b</t>
    </r>
    <phoneticPr fontId="2" type="noConversion"/>
  </si>
  <si>
    <t>4) BENDING STRESS CHECK</t>
    <phoneticPr fontId="2" type="noConversion"/>
  </si>
  <si>
    <t xml:space="preserve">5) DEFLECTION CHECK </t>
    <phoneticPr fontId="3" type="noConversion"/>
  </si>
  <si>
    <t>-. Allowable Deflection</t>
    <phoneticPr fontId="3" type="noConversion"/>
  </si>
  <si>
    <t>-. Actual Deflection</t>
    <phoneticPr fontId="3" type="noConversion"/>
  </si>
  <si>
    <r>
      <t>Δ</t>
    </r>
    <r>
      <rPr>
        <b/>
        <i/>
        <vertAlign val="subscript"/>
        <sz val="9"/>
        <rFont val="Times New Roman"/>
        <family val="1"/>
      </rPr>
      <t>ALL</t>
    </r>
    <phoneticPr fontId="2" type="noConversion"/>
  </si>
  <si>
    <t>L</t>
    <phoneticPr fontId="2" type="noConversion"/>
  </si>
  <si>
    <t>&lt; AAMA TIR-A11-04 &gt;</t>
    <phoneticPr fontId="2" type="noConversion"/>
  </si>
  <si>
    <t>L &gt; 4110</t>
    <phoneticPr fontId="2" type="noConversion"/>
  </si>
  <si>
    <t>L ≤4110</t>
    <phoneticPr fontId="2" type="noConversion"/>
  </si>
  <si>
    <t>-. Check Deflection Stability</t>
    <phoneticPr fontId="2" type="noConversion"/>
  </si>
  <si>
    <t>=</t>
    <phoneticPr fontId="2" type="noConversion"/>
  </si>
  <si>
    <t>A1</t>
    <phoneticPr fontId="38" type="noConversion"/>
  </si>
  <si>
    <t>y1</t>
    <phoneticPr fontId="38" type="noConversion"/>
  </si>
  <si>
    <t>x1</t>
    <phoneticPr fontId="38" type="noConversion"/>
  </si>
  <si>
    <t>A2</t>
    <phoneticPr fontId="38" type="noConversion"/>
  </si>
  <si>
    <t>y2</t>
  </si>
  <si>
    <t>x2</t>
  </si>
  <si>
    <t>A3</t>
    <phoneticPr fontId="38" type="noConversion"/>
  </si>
  <si>
    <t>y3</t>
  </si>
  <si>
    <t>x3</t>
  </si>
  <si>
    <t>A4</t>
    <phoneticPr fontId="38" type="noConversion"/>
  </si>
  <si>
    <t>y4</t>
  </si>
  <si>
    <t>x4</t>
  </si>
  <si>
    <t>A5</t>
    <phoneticPr fontId="38" type="noConversion"/>
  </si>
  <si>
    <t>y5</t>
  </si>
  <si>
    <t>x5</t>
  </si>
  <si>
    <t>y_1</t>
    <phoneticPr fontId="38" type="noConversion"/>
  </si>
  <si>
    <t>x_1</t>
    <phoneticPr fontId="38" type="noConversion"/>
  </si>
  <si>
    <t>Sx</t>
    <phoneticPr fontId="38" type="noConversion"/>
  </si>
  <si>
    <t>=</t>
    <phoneticPr fontId="2" type="noConversion"/>
  </si>
  <si>
    <t>y_2</t>
  </si>
  <si>
    <t>x_2</t>
  </si>
  <si>
    <t>Sy</t>
    <phoneticPr fontId="38" type="noConversion"/>
  </si>
  <si>
    <t>y_3</t>
  </si>
  <si>
    <t>x_3</t>
  </si>
  <si>
    <t>Gy</t>
    <phoneticPr fontId="38" type="noConversion"/>
  </si>
  <si>
    <t>y_4</t>
  </si>
  <si>
    <t>x_4</t>
  </si>
  <si>
    <t>Gx</t>
    <phoneticPr fontId="38" type="noConversion"/>
  </si>
  <si>
    <t>y_5</t>
  </si>
  <si>
    <t>x_5</t>
  </si>
  <si>
    <t>Ix</t>
    <phoneticPr fontId="38" type="noConversion"/>
  </si>
  <si>
    <t>Iy</t>
    <phoneticPr fontId="38" type="noConversion"/>
  </si>
  <si>
    <t>ksi</t>
  </si>
  <si>
    <t>-. CHECK FOR VERTICAL ALUM. MULLION</t>
    <phoneticPr fontId="2" type="noConversion"/>
  </si>
  <si>
    <r>
      <rPr>
        <b/>
        <sz val="9"/>
        <rFont val="Times New Roman"/>
        <family val="1"/>
      </rPr>
      <t>(</t>
    </r>
    <r>
      <rPr>
        <b/>
        <i/>
        <sz val="9"/>
        <rFont val="Times New Roman"/>
        <family val="1"/>
      </rPr>
      <t xml:space="preserve"> 5w L</t>
    </r>
    <r>
      <rPr>
        <b/>
        <i/>
        <vertAlign val="superscript"/>
        <sz val="9"/>
        <rFont val="Times New Roman"/>
        <family val="1"/>
      </rPr>
      <t>4</t>
    </r>
    <r>
      <rPr>
        <b/>
        <i/>
        <sz val="9"/>
        <rFont val="Times New Roman"/>
        <family val="1"/>
      </rPr>
      <t xml:space="preserve"> / 384 EI </t>
    </r>
    <r>
      <rPr>
        <b/>
        <sz val="9"/>
        <rFont val="Times New Roman"/>
        <family val="1"/>
      </rPr>
      <t>)</t>
    </r>
    <r>
      <rPr>
        <b/>
        <i/>
        <sz val="9"/>
        <rFont val="Times New Roman"/>
        <family val="1"/>
      </rPr>
      <t xml:space="preserve"> - </t>
    </r>
    <r>
      <rPr>
        <b/>
        <sz val="9"/>
        <rFont val="Times New Roman"/>
        <family val="1"/>
      </rPr>
      <t>(</t>
    </r>
    <r>
      <rPr>
        <b/>
        <i/>
        <sz val="9"/>
        <rFont val="Times New Roman"/>
        <family val="1"/>
      </rPr>
      <t xml:space="preserve"> M</t>
    </r>
    <r>
      <rPr>
        <b/>
        <i/>
        <vertAlign val="subscript"/>
        <sz val="9"/>
        <rFont val="Times New Roman"/>
        <family val="1"/>
      </rPr>
      <t>B</t>
    </r>
    <r>
      <rPr>
        <b/>
        <i/>
        <sz val="9"/>
        <rFont val="Times New Roman"/>
        <family val="1"/>
      </rPr>
      <t>* L</t>
    </r>
    <r>
      <rPr>
        <b/>
        <i/>
        <vertAlign val="superscript"/>
        <sz val="9"/>
        <rFont val="Times New Roman"/>
        <family val="1"/>
      </rPr>
      <t>2</t>
    </r>
    <r>
      <rPr>
        <b/>
        <i/>
        <sz val="9"/>
        <rFont val="Times New Roman"/>
        <family val="1"/>
      </rPr>
      <t xml:space="preserve"> / 16 EI </t>
    </r>
    <r>
      <rPr>
        <b/>
        <sz val="9"/>
        <rFont val="Times New Roman"/>
        <family val="1"/>
      </rPr>
      <t>)      :</t>
    </r>
    <phoneticPr fontId="2" type="noConversion"/>
  </si>
  <si>
    <r>
      <t>E</t>
    </r>
    <r>
      <rPr>
        <b/>
        <i/>
        <vertAlign val="subscript"/>
        <sz val="9"/>
        <rFont val="Times New Roman"/>
        <family val="1"/>
      </rPr>
      <t>ALUM.</t>
    </r>
    <phoneticPr fontId="2" type="noConversion"/>
  </si>
  <si>
    <t>( 6063- T</t>
    <phoneticPr fontId="2" type="noConversion"/>
  </si>
  <si>
    <r>
      <t>t</t>
    </r>
    <r>
      <rPr>
        <b/>
        <i/>
        <vertAlign val="subscript"/>
        <sz val="9"/>
        <rFont val="Times New Roman"/>
        <family val="1"/>
      </rPr>
      <t>3</t>
    </r>
    <phoneticPr fontId="2" type="noConversion"/>
  </si>
  <si>
    <r>
      <t>I</t>
    </r>
    <r>
      <rPr>
        <b/>
        <i/>
        <vertAlign val="subscript"/>
        <sz val="9"/>
        <rFont val="Times New Roman"/>
        <family val="1"/>
      </rPr>
      <t>x</t>
    </r>
    <phoneticPr fontId="38" type="noConversion"/>
  </si>
  <si>
    <r>
      <t>I</t>
    </r>
    <r>
      <rPr>
        <b/>
        <i/>
        <vertAlign val="subscript"/>
        <sz val="9"/>
        <rFont val="Times New Roman"/>
        <family val="1"/>
      </rPr>
      <t>y</t>
    </r>
    <phoneticPr fontId="38" type="noConversion"/>
  </si>
  <si>
    <r>
      <t>Z</t>
    </r>
    <r>
      <rPr>
        <b/>
        <i/>
        <vertAlign val="subscript"/>
        <sz val="9"/>
        <rFont val="Times New Roman"/>
        <family val="1"/>
      </rPr>
      <t>x</t>
    </r>
    <phoneticPr fontId="38" type="noConversion"/>
  </si>
  <si>
    <t>H</t>
    <phoneticPr fontId="38" type="noConversion"/>
  </si>
  <si>
    <t>B</t>
    <phoneticPr fontId="2" type="noConversion"/>
  </si>
  <si>
    <t>b</t>
    <phoneticPr fontId="2" type="noConversion"/>
  </si>
  <si>
    <r>
      <t>h</t>
    </r>
    <r>
      <rPr>
        <b/>
        <i/>
        <vertAlign val="subscript"/>
        <sz val="9"/>
        <rFont val="Times New Roman"/>
        <family val="1"/>
      </rPr>
      <t>1</t>
    </r>
    <phoneticPr fontId="38" type="noConversion"/>
  </si>
  <si>
    <t>【 CASE 1 】</t>
    <phoneticPr fontId="2" type="noConversion"/>
  </si>
  <si>
    <t>【 CASE 2 】</t>
    <phoneticPr fontId="2" type="noConversion"/>
  </si>
  <si>
    <t>【 CASE 3 】</t>
    <phoneticPr fontId="2" type="noConversion"/>
  </si>
  <si>
    <r>
      <rPr>
        <b/>
        <sz val="9"/>
        <rFont val="Times New Roman"/>
        <family val="1"/>
      </rPr>
      <t xml:space="preserve">( </t>
    </r>
    <r>
      <rPr>
        <b/>
        <i/>
        <sz val="9"/>
        <rFont val="Times New Roman"/>
        <family val="1"/>
      </rPr>
      <t xml:space="preserve">Modulus of Elasticity , Alloy &amp; Temper </t>
    </r>
    <r>
      <rPr>
        <b/>
        <sz val="9"/>
        <rFont val="Times New Roman"/>
        <family val="1"/>
      </rPr>
      <t>)</t>
    </r>
    <phoneticPr fontId="2" type="noConversion"/>
  </si>
  <si>
    <r>
      <t>h</t>
    </r>
    <r>
      <rPr>
        <b/>
        <i/>
        <vertAlign val="subscript"/>
        <sz val="9"/>
        <rFont val="Times New Roman"/>
        <family val="1"/>
      </rPr>
      <t>2</t>
    </r>
    <phoneticPr fontId="2" type="noConversion"/>
  </si>
  <si>
    <t>* RESULT DATA  (OUTPUT)</t>
    <phoneticPr fontId="2" type="noConversion"/>
  </si>
  <si>
    <t>-</t>
    <phoneticPr fontId="2" type="noConversion"/>
  </si>
  <si>
    <r>
      <rPr>
        <b/>
        <sz val="9"/>
        <rFont val="Times New Roman"/>
        <family val="1"/>
      </rPr>
      <t>(</t>
    </r>
    <r>
      <rPr>
        <b/>
        <i/>
        <sz val="9"/>
        <rFont val="Times New Roman"/>
        <family val="1"/>
      </rPr>
      <t xml:space="preserve"> R</t>
    </r>
    <r>
      <rPr>
        <b/>
        <i/>
        <vertAlign val="subscript"/>
        <sz val="9"/>
        <rFont val="Times New Roman"/>
        <family val="1"/>
      </rPr>
      <t>A</t>
    </r>
    <r>
      <rPr>
        <b/>
        <i/>
        <sz val="9"/>
        <rFont val="Times New Roman"/>
        <family val="1"/>
      </rPr>
      <t xml:space="preserve"> * x</t>
    </r>
    <r>
      <rPr>
        <b/>
        <i/>
        <vertAlign val="subscript"/>
        <sz val="9"/>
        <rFont val="Times New Roman"/>
        <family val="1"/>
      </rPr>
      <t>0</t>
    </r>
    <r>
      <rPr>
        <b/>
        <i/>
        <sz val="9"/>
        <rFont val="Times New Roman"/>
        <family val="1"/>
      </rPr>
      <t xml:space="preserve"> </t>
    </r>
    <r>
      <rPr>
        <b/>
        <sz val="9"/>
        <rFont val="Times New Roman"/>
        <family val="1"/>
      </rPr>
      <t>)</t>
    </r>
    <r>
      <rPr>
        <b/>
        <i/>
        <sz val="9"/>
        <rFont val="Times New Roman"/>
        <family val="1"/>
      </rPr>
      <t xml:space="preserve"> - </t>
    </r>
    <r>
      <rPr>
        <b/>
        <sz val="9"/>
        <rFont val="Times New Roman"/>
        <family val="1"/>
      </rPr>
      <t>(</t>
    </r>
    <r>
      <rPr>
        <b/>
        <i/>
        <sz val="9"/>
        <rFont val="Times New Roman"/>
        <family val="1"/>
      </rPr>
      <t xml:space="preserve"> w x</t>
    </r>
    <r>
      <rPr>
        <b/>
        <i/>
        <vertAlign val="subscript"/>
        <sz val="9"/>
        <rFont val="Times New Roman"/>
        <family val="1"/>
      </rPr>
      <t>0</t>
    </r>
    <r>
      <rPr>
        <b/>
        <i/>
        <vertAlign val="superscript"/>
        <sz val="9"/>
        <rFont val="Times New Roman"/>
        <family val="1"/>
      </rPr>
      <t>2</t>
    </r>
    <r>
      <rPr>
        <b/>
        <i/>
        <sz val="9"/>
        <rFont val="Times New Roman"/>
        <family val="1"/>
      </rPr>
      <t xml:space="preserve"> / 2 </t>
    </r>
    <r>
      <rPr>
        <b/>
        <sz val="9"/>
        <rFont val="Times New Roman"/>
        <family val="1"/>
      </rPr>
      <t>)</t>
    </r>
    <phoneticPr fontId="2" type="noConversion"/>
  </si>
  <si>
    <t>(1) FORMULARS TO CALCULATION</t>
    <phoneticPr fontId="2" type="noConversion"/>
  </si>
  <si>
    <r>
      <t>R</t>
    </r>
    <r>
      <rPr>
        <b/>
        <i/>
        <vertAlign val="subscript"/>
        <sz val="9"/>
        <rFont val="Times New Roman"/>
        <family val="1"/>
      </rPr>
      <t>A</t>
    </r>
    <phoneticPr fontId="2" type="noConversion"/>
  </si>
  <si>
    <t>=</t>
    <phoneticPr fontId="2" type="noConversion"/>
  </si>
  <si>
    <r>
      <t xml:space="preserve">w </t>
    </r>
    <r>
      <rPr>
        <b/>
        <sz val="9"/>
        <rFont val="Times New Roman"/>
        <family val="1"/>
      </rPr>
      <t>(</t>
    </r>
    <r>
      <rPr>
        <b/>
        <i/>
        <sz val="9"/>
        <rFont val="Times New Roman"/>
        <family val="1"/>
      </rPr>
      <t xml:space="preserve"> L</t>
    </r>
    <r>
      <rPr>
        <b/>
        <i/>
        <vertAlign val="superscript"/>
        <sz val="9"/>
        <rFont val="Times New Roman"/>
        <family val="1"/>
      </rPr>
      <t>2</t>
    </r>
    <r>
      <rPr>
        <b/>
        <i/>
        <sz val="9"/>
        <rFont val="Times New Roman"/>
        <family val="1"/>
      </rPr>
      <t xml:space="preserve"> - a</t>
    </r>
    <r>
      <rPr>
        <b/>
        <i/>
        <vertAlign val="superscript"/>
        <sz val="9"/>
        <rFont val="Times New Roman"/>
        <family val="1"/>
      </rPr>
      <t>2</t>
    </r>
    <r>
      <rPr>
        <b/>
        <i/>
        <sz val="9"/>
        <rFont val="Times New Roman"/>
        <family val="1"/>
      </rPr>
      <t xml:space="preserve"> </t>
    </r>
    <r>
      <rPr>
        <b/>
        <sz val="9"/>
        <rFont val="Times New Roman"/>
        <family val="1"/>
      </rPr>
      <t>)</t>
    </r>
    <r>
      <rPr>
        <b/>
        <i/>
        <sz val="9"/>
        <rFont val="Times New Roman"/>
        <family val="1"/>
      </rPr>
      <t xml:space="preserve"> / </t>
    </r>
    <r>
      <rPr>
        <b/>
        <sz val="9"/>
        <rFont val="Times New Roman"/>
        <family val="1"/>
      </rPr>
      <t>(</t>
    </r>
    <r>
      <rPr>
        <b/>
        <i/>
        <sz val="9"/>
        <rFont val="Times New Roman"/>
        <family val="1"/>
      </rPr>
      <t xml:space="preserve"> 2 L </t>
    </r>
    <r>
      <rPr>
        <b/>
        <sz val="9"/>
        <rFont val="Times New Roman"/>
        <family val="1"/>
      </rPr>
      <t>)</t>
    </r>
    <phoneticPr fontId="2" type="noConversion"/>
  </si>
  <si>
    <t>:</t>
    <phoneticPr fontId="2" type="noConversion"/>
  </si>
  <si>
    <t>Reaction Force</t>
    <phoneticPr fontId="2" type="noConversion"/>
  </si>
  <si>
    <r>
      <t>R</t>
    </r>
    <r>
      <rPr>
        <b/>
        <i/>
        <vertAlign val="subscript"/>
        <sz val="9"/>
        <rFont val="Times New Roman"/>
        <family val="1"/>
      </rPr>
      <t>B</t>
    </r>
    <phoneticPr fontId="2" type="noConversion"/>
  </si>
  <si>
    <r>
      <t xml:space="preserve">w </t>
    </r>
    <r>
      <rPr>
        <b/>
        <sz val="9"/>
        <rFont val="Times New Roman"/>
        <family val="1"/>
      </rPr>
      <t>(</t>
    </r>
    <r>
      <rPr>
        <b/>
        <i/>
        <sz val="9"/>
        <rFont val="Times New Roman"/>
        <family val="1"/>
      </rPr>
      <t xml:space="preserve"> L + a </t>
    </r>
    <r>
      <rPr>
        <b/>
        <sz val="9"/>
        <rFont val="Times New Roman"/>
        <family val="1"/>
      </rPr>
      <t>)</t>
    </r>
    <r>
      <rPr>
        <b/>
        <i/>
        <vertAlign val="superscript"/>
        <sz val="9"/>
        <rFont val="Times New Roman"/>
        <family val="1"/>
      </rPr>
      <t>2</t>
    </r>
    <r>
      <rPr>
        <b/>
        <i/>
        <sz val="9"/>
        <rFont val="Times New Roman"/>
        <family val="1"/>
      </rPr>
      <t xml:space="preserve"> / </t>
    </r>
    <r>
      <rPr>
        <b/>
        <sz val="9"/>
        <rFont val="Times New Roman"/>
        <family val="1"/>
      </rPr>
      <t>(</t>
    </r>
    <r>
      <rPr>
        <b/>
        <i/>
        <sz val="9"/>
        <rFont val="Times New Roman"/>
        <family val="1"/>
      </rPr>
      <t xml:space="preserve"> 2 L </t>
    </r>
    <r>
      <rPr>
        <b/>
        <sz val="9"/>
        <rFont val="Times New Roman"/>
        <family val="1"/>
      </rPr>
      <t>)</t>
    </r>
    <phoneticPr fontId="2" type="noConversion"/>
  </si>
  <si>
    <r>
      <t>M</t>
    </r>
    <r>
      <rPr>
        <b/>
        <i/>
        <vertAlign val="subscript"/>
        <sz val="9"/>
        <rFont val="Times New Roman"/>
        <family val="1"/>
      </rPr>
      <t>B</t>
    </r>
    <phoneticPr fontId="2" type="noConversion"/>
  </si>
  <si>
    <r>
      <t>w a</t>
    </r>
    <r>
      <rPr>
        <b/>
        <i/>
        <vertAlign val="superscript"/>
        <sz val="9"/>
        <rFont val="Times New Roman"/>
        <family val="1"/>
      </rPr>
      <t>2</t>
    </r>
    <r>
      <rPr>
        <b/>
        <i/>
        <sz val="9"/>
        <rFont val="Times New Roman"/>
        <family val="1"/>
      </rPr>
      <t xml:space="preserve"> / 2</t>
    </r>
    <phoneticPr fontId="2" type="noConversion"/>
  </si>
  <si>
    <t>Bending Moment</t>
    <phoneticPr fontId="2" type="noConversion"/>
  </si>
  <si>
    <r>
      <t>M</t>
    </r>
    <r>
      <rPr>
        <b/>
        <i/>
        <vertAlign val="subscript"/>
        <sz val="9"/>
        <rFont val="Times New Roman"/>
        <family val="1"/>
      </rPr>
      <t>MAX</t>
    </r>
    <phoneticPr fontId="2" type="noConversion"/>
  </si>
  <si>
    <r>
      <rPr>
        <b/>
        <sz val="9"/>
        <rFont val="Times New Roman"/>
        <family val="1"/>
      </rPr>
      <t>(</t>
    </r>
    <r>
      <rPr>
        <b/>
        <i/>
        <sz val="9"/>
        <rFont val="Times New Roman"/>
        <family val="1"/>
      </rPr>
      <t xml:space="preserve"> 5w L</t>
    </r>
    <r>
      <rPr>
        <b/>
        <i/>
        <vertAlign val="superscript"/>
        <sz val="9"/>
        <rFont val="Times New Roman"/>
        <family val="1"/>
      </rPr>
      <t>4</t>
    </r>
    <r>
      <rPr>
        <b/>
        <i/>
        <sz val="9"/>
        <rFont val="Times New Roman"/>
        <family val="1"/>
      </rPr>
      <t xml:space="preserve"> / 384 EI </t>
    </r>
    <r>
      <rPr>
        <b/>
        <sz val="9"/>
        <rFont val="Times New Roman"/>
        <family val="1"/>
      </rPr>
      <t>)</t>
    </r>
    <r>
      <rPr>
        <b/>
        <i/>
        <sz val="9"/>
        <rFont val="Times New Roman"/>
        <family val="1"/>
      </rPr>
      <t xml:space="preserve"> - </t>
    </r>
    <r>
      <rPr>
        <b/>
        <sz val="9"/>
        <rFont val="Times New Roman"/>
        <family val="1"/>
      </rPr>
      <t>(</t>
    </r>
    <r>
      <rPr>
        <b/>
        <i/>
        <sz val="9"/>
        <rFont val="Times New Roman"/>
        <family val="1"/>
      </rPr>
      <t xml:space="preserve"> M</t>
    </r>
    <r>
      <rPr>
        <b/>
        <i/>
        <vertAlign val="subscript"/>
        <sz val="9"/>
        <rFont val="Times New Roman"/>
        <family val="1"/>
      </rPr>
      <t>B</t>
    </r>
    <r>
      <rPr>
        <b/>
        <i/>
        <sz val="9"/>
        <rFont val="Times New Roman"/>
        <family val="1"/>
      </rPr>
      <t>* L</t>
    </r>
    <r>
      <rPr>
        <b/>
        <i/>
        <vertAlign val="superscript"/>
        <sz val="9"/>
        <rFont val="Times New Roman"/>
        <family val="1"/>
      </rPr>
      <t>2</t>
    </r>
    <r>
      <rPr>
        <b/>
        <i/>
        <sz val="9"/>
        <rFont val="Times New Roman"/>
        <family val="1"/>
      </rPr>
      <t xml:space="preserve"> / 16 EI </t>
    </r>
    <r>
      <rPr>
        <b/>
        <sz val="9"/>
        <rFont val="Times New Roman"/>
        <family val="1"/>
      </rPr>
      <t>)      :</t>
    </r>
    <phoneticPr fontId="2" type="noConversion"/>
  </si>
  <si>
    <t>Max. Deflection</t>
    <phoneticPr fontId="2" type="noConversion"/>
  </si>
  <si>
    <t>L</t>
    <phoneticPr fontId="2" type="noConversion"/>
  </si>
  <si>
    <t>:</t>
    <phoneticPr fontId="2" type="noConversion"/>
  </si>
  <si>
    <t>a</t>
    <phoneticPr fontId="2" type="noConversion"/>
  </si>
  <si>
    <t>=</t>
    <phoneticPr fontId="2" type="noConversion"/>
  </si>
  <si>
    <t>:</t>
    <phoneticPr fontId="2" type="noConversion"/>
  </si>
  <si>
    <r>
      <t>x</t>
    </r>
    <r>
      <rPr>
        <b/>
        <vertAlign val="subscript"/>
        <sz val="9"/>
        <rFont val="Times New Roman"/>
        <family val="1"/>
      </rPr>
      <t>1</t>
    </r>
    <phoneticPr fontId="2" type="noConversion"/>
  </si>
  <si>
    <t>=</t>
    <phoneticPr fontId="2" type="noConversion"/>
  </si>
  <si>
    <r>
      <t>Span, x</t>
    </r>
    <r>
      <rPr>
        <b/>
        <i/>
        <vertAlign val="subscript"/>
        <sz val="9"/>
        <rFont val="Times New Roman"/>
        <family val="1"/>
      </rPr>
      <t>1</t>
    </r>
    <r>
      <rPr>
        <b/>
        <i/>
        <sz val="9"/>
        <rFont val="Times New Roman"/>
        <family val="1"/>
      </rPr>
      <t xml:space="preserve">  </t>
    </r>
    <r>
      <rPr>
        <b/>
        <sz val="9"/>
        <rFont val="Times New Roman"/>
        <family val="1"/>
      </rPr>
      <t>:</t>
    </r>
    <r>
      <rPr>
        <b/>
        <i/>
        <sz val="9"/>
        <rFont val="Times New Roman"/>
        <family val="1"/>
      </rPr>
      <t xml:space="preserve">  </t>
    </r>
    <r>
      <rPr>
        <b/>
        <sz val="9"/>
        <rFont val="Times New Roman"/>
        <family val="1"/>
      </rPr>
      <t>(</t>
    </r>
    <r>
      <rPr>
        <b/>
        <i/>
        <sz val="9"/>
        <rFont val="Times New Roman"/>
        <family val="1"/>
      </rPr>
      <t xml:space="preserve"> L</t>
    </r>
    <r>
      <rPr>
        <b/>
        <i/>
        <vertAlign val="superscript"/>
        <sz val="9"/>
        <rFont val="Times New Roman"/>
        <family val="1"/>
      </rPr>
      <t>2</t>
    </r>
    <r>
      <rPr>
        <b/>
        <i/>
        <sz val="9"/>
        <rFont val="Times New Roman"/>
        <family val="1"/>
      </rPr>
      <t xml:space="preserve"> - a</t>
    </r>
    <r>
      <rPr>
        <b/>
        <i/>
        <vertAlign val="superscript"/>
        <sz val="9"/>
        <rFont val="Times New Roman"/>
        <family val="1"/>
      </rPr>
      <t xml:space="preserve">2 </t>
    </r>
    <r>
      <rPr>
        <b/>
        <sz val="9"/>
        <rFont val="Times New Roman"/>
        <family val="1"/>
      </rPr>
      <t>)</t>
    </r>
    <r>
      <rPr>
        <b/>
        <i/>
        <sz val="9"/>
        <rFont val="Times New Roman"/>
        <family val="1"/>
      </rPr>
      <t xml:space="preserve"> / </t>
    </r>
    <r>
      <rPr>
        <b/>
        <sz val="9"/>
        <rFont val="Times New Roman"/>
        <family val="1"/>
      </rPr>
      <t>(</t>
    </r>
    <r>
      <rPr>
        <b/>
        <i/>
        <sz val="9"/>
        <rFont val="Times New Roman"/>
        <family val="1"/>
      </rPr>
      <t xml:space="preserve"> 2 L </t>
    </r>
    <r>
      <rPr>
        <b/>
        <sz val="9"/>
        <rFont val="Times New Roman"/>
        <family val="1"/>
      </rPr>
      <t>)</t>
    </r>
    <phoneticPr fontId="2" type="noConversion"/>
  </si>
  <si>
    <t>=</t>
    <phoneticPr fontId="2" type="noConversion"/>
  </si>
  <si>
    <t>:</t>
    <phoneticPr fontId="2" type="noConversion"/>
  </si>
  <si>
    <t>Lineal Load</t>
    <phoneticPr fontId="2" type="noConversion"/>
  </si>
  <si>
    <t>E</t>
    <phoneticPr fontId="2" type="noConversion"/>
  </si>
  <si>
    <t>Modulus of Elasticity</t>
    <phoneticPr fontId="2" type="noConversion"/>
  </si>
  <si>
    <t>I</t>
    <phoneticPr fontId="2" type="noConversion"/>
  </si>
  <si>
    <t>Moment of Inertia</t>
    <phoneticPr fontId="2" type="noConversion"/>
  </si>
  <si>
    <t>(2) INPUT DATA</t>
    <phoneticPr fontId="2" type="noConversion"/>
  </si>
  <si>
    <t>(3) OUTPUT DATA</t>
    <phoneticPr fontId="2" type="noConversion"/>
  </si>
  <si>
    <t xml:space="preserve"> </t>
    <phoneticPr fontId="2" type="noConversion"/>
  </si>
  <si>
    <r>
      <t>R</t>
    </r>
    <r>
      <rPr>
        <b/>
        <i/>
        <vertAlign val="subscript"/>
        <sz val="9"/>
        <rFont val="Times New Roman"/>
        <family val="1"/>
      </rPr>
      <t>A</t>
    </r>
    <r>
      <rPr>
        <b/>
        <sz val="11"/>
        <rFont val="한컴바탕"/>
        <family val="1"/>
        <charset val="129"/>
      </rPr>
      <t/>
    </r>
    <phoneticPr fontId="2" type="noConversion"/>
  </si>
  <si>
    <r>
      <t xml:space="preserve">w </t>
    </r>
    <r>
      <rPr>
        <b/>
        <sz val="9"/>
        <rFont val="Times New Roman"/>
        <family val="1"/>
      </rPr>
      <t>(</t>
    </r>
    <r>
      <rPr>
        <b/>
        <i/>
        <sz val="9"/>
        <rFont val="Times New Roman"/>
        <family val="1"/>
      </rPr>
      <t xml:space="preserve"> L</t>
    </r>
    <r>
      <rPr>
        <b/>
        <i/>
        <vertAlign val="superscript"/>
        <sz val="9"/>
        <rFont val="Times New Roman"/>
        <family val="1"/>
      </rPr>
      <t>2</t>
    </r>
    <r>
      <rPr>
        <b/>
        <i/>
        <sz val="9"/>
        <rFont val="Times New Roman"/>
        <family val="1"/>
      </rPr>
      <t xml:space="preserve"> - a</t>
    </r>
    <r>
      <rPr>
        <b/>
        <i/>
        <vertAlign val="superscript"/>
        <sz val="9"/>
        <rFont val="Times New Roman"/>
        <family val="1"/>
      </rPr>
      <t xml:space="preserve">2 </t>
    </r>
    <r>
      <rPr>
        <b/>
        <sz val="9"/>
        <rFont val="Times New Roman"/>
        <family val="1"/>
      </rPr>
      <t>)</t>
    </r>
    <r>
      <rPr>
        <b/>
        <i/>
        <sz val="9"/>
        <rFont val="Times New Roman"/>
        <family val="1"/>
      </rPr>
      <t xml:space="preserve"> / </t>
    </r>
    <r>
      <rPr>
        <b/>
        <sz val="9"/>
        <rFont val="Times New Roman"/>
        <family val="1"/>
      </rPr>
      <t>(</t>
    </r>
    <r>
      <rPr>
        <b/>
        <i/>
        <sz val="9"/>
        <rFont val="Times New Roman"/>
        <family val="1"/>
      </rPr>
      <t xml:space="preserve"> 2 L </t>
    </r>
    <r>
      <rPr>
        <b/>
        <sz val="9"/>
        <rFont val="Times New Roman"/>
        <family val="1"/>
      </rPr>
      <t>)</t>
    </r>
    <phoneticPr fontId="2" type="noConversion"/>
  </si>
  <si>
    <r>
      <t xml:space="preserve">w </t>
    </r>
    <r>
      <rPr>
        <b/>
        <sz val="9"/>
        <color indexed="8"/>
        <rFont val="Times New Roman"/>
        <family val="1"/>
      </rPr>
      <t>(</t>
    </r>
    <r>
      <rPr>
        <b/>
        <i/>
        <sz val="9"/>
        <color indexed="8"/>
        <rFont val="Times New Roman"/>
        <family val="1"/>
      </rPr>
      <t xml:space="preserve"> L + a </t>
    </r>
    <r>
      <rPr>
        <b/>
        <sz val="9"/>
        <color indexed="8"/>
        <rFont val="Times New Roman"/>
        <family val="1"/>
      </rPr>
      <t>)</t>
    </r>
    <r>
      <rPr>
        <b/>
        <i/>
        <vertAlign val="superscript"/>
        <sz val="9"/>
        <color indexed="8"/>
        <rFont val="Times New Roman"/>
        <family val="1"/>
      </rPr>
      <t>2</t>
    </r>
    <r>
      <rPr>
        <b/>
        <i/>
        <sz val="9"/>
        <color indexed="8"/>
        <rFont val="Times New Roman"/>
        <family val="1"/>
      </rPr>
      <t xml:space="preserve"> / </t>
    </r>
    <r>
      <rPr>
        <b/>
        <sz val="9"/>
        <color indexed="8"/>
        <rFont val="Times New Roman"/>
        <family val="1"/>
      </rPr>
      <t>(</t>
    </r>
    <r>
      <rPr>
        <b/>
        <i/>
        <sz val="9"/>
        <color indexed="8"/>
        <rFont val="Times New Roman"/>
        <family val="1"/>
      </rPr>
      <t xml:space="preserve"> 2 L </t>
    </r>
    <r>
      <rPr>
        <b/>
        <sz val="9"/>
        <color indexed="8"/>
        <rFont val="Times New Roman"/>
        <family val="1"/>
      </rPr>
      <t>)</t>
    </r>
    <phoneticPr fontId="2" type="noConversion"/>
  </si>
  <si>
    <r>
      <t>M</t>
    </r>
    <r>
      <rPr>
        <b/>
        <i/>
        <vertAlign val="subscript"/>
        <sz val="9"/>
        <rFont val="Times New Roman"/>
        <family val="1"/>
      </rPr>
      <t>B</t>
    </r>
    <r>
      <rPr>
        <b/>
        <sz val="11"/>
        <rFont val="한컴바탕"/>
        <family val="1"/>
        <charset val="129"/>
      </rPr>
      <t/>
    </r>
    <phoneticPr fontId="2" type="noConversion"/>
  </si>
  <si>
    <r>
      <t>w a</t>
    </r>
    <r>
      <rPr>
        <b/>
        <i/>
        <vertAlign val="superscript"/>
        <sz val="9"/>
        <color indexed="8"/>
        <rFont val="Times New Roman"/>
        <family val="1"/>
      </rPr>
      <t>2</t>
    </r>
    <r>
      <rPr>
        <b/>
        <i/>
        <sz val="9"/>
        <color indexed="8"/>
        <rFont val="Times New Roman"/>
        <family val="1"/>
      </rPr>
      <t xml:space="preserve"> / 2</t>
    </r>
    <phoneticPr fontId="2" type="noConversion"/>
  </si>
  <si>
    <r>
      <t>M</t>
    </r>
    <r>
      <rPr>
        <b/>
        <i/>
        <vertAlign val="subscript"/>
        <sz val="9"/>
        <rFont val="Times New Roman"/>
        <family val="1"/>
      </rPr>
      <t>MAX1</t>
    </r>
    <phoneticPr fontId="2" type="noConversion"/>
  </si>
  <si>
    <r>
      <rPr>
        <b/>
        <sz val="9"/>
        <color indexed="8"/>
        <rFont val="Times New Roman"/>
        <family val="1"/>
      </rPr>
      <t>(</t>
    </r>
    <r>
      <rPr>
        <b/>
        <i/>
        <sz val="9"/>
        <color indexed="8"/>
        <rFont val="Times New Roman"/>
        <family val="1"/>
      </rPr>
      <t xml:space="preserve"> R</t>
    </r>
    <r>
      <rPr>
        <b/>
        <i/>
        <vertAlign val="subscript"/>
        <sz val="9"/>
        <color indexed="8"/>
        <rFont val="Times New Roman"/>
        <family val="1"/>
      </rPr>
      <t>A</t>
    </r>
    <r>
      <rPr>
        <b/>
        <i/>
        <sz val="9"/>
        <color indexed="8"/>
        <rFont val="Times New Roman"/>
        <family val="1"/>
      </rPr>
      <t xml:space="preserve"> * x</t>
    </r>
    <r>
      <rPr>
        <b/>
        <i/>
        <vertAlign val="subscript"/>
        <sz val="9"/>
        <color indexed="8"/>
        <rFont val="Times New Roman"/>
        <family val="1"/>
      </rPr>
      <t>1</t>
    </r>
    <r>
      <rPr>
        <b/>
        <i/>
        <sz val="9"/>
        <color indexed="8"/>
        <rFont val="Times New Roman"/>
        <family val="1"/>
      </rPr>
      <t xml:space="preserve"> </t>
    </r>
    <r>
      <rPr>
        <b/>
        <sz val="9"/>
        <color indexed="8"/>
        <rFont val="Times New Roman"/>
        <family val="1"/>
      </rPr>
      <t>)</t>
    </r>
    <r>
      <rPr>
        <b/>
        <i/>
        <sz val="9"/>
        <color indexed="8"/>
        <rFont val="Times New Roman"/>
        <family val="1"/>
      </rPr>
      <t xml:space="preserve"> - </t>
    </r>
    <r>
      <rPr>
        <b/>
        <sz val="9"/>
        <color indexed="8"/>
        <rFont val="Times New Roman"/>
        <family val="1"/>
      </rPr>
      <t>(</t>
    </r>
    <r>
      <rPr>
        <b/>
        <i/>
        <sz val="9"/>
        <color indexed="8"/>
        <rFont val="Times New Roman"/>
        <family val="1"/>
      </rPr>
      <t xml:space="preserve"> wx</t>
    </r>
    <r>
      <rPr>
        <b/>
        <i/>
        <vertAlign val="subscript"/>
        <sz val="9"/>
        <color indexed="8"/>
        <rFont val="Times New Roman"/>
        <family val="1"/>
      </rPr>
      <t>1</t>
    </r>
    <r>
      <rPr>
        <b/>
        <i/>
        <vertAlign val="superscript"/>
        <sz val="9"/>
        <color indexed="8"/>
        <rFont val="Times New Roman"/>
        <family val="1"/>
      </rPr>
      <t>2</t>
    </r>
    <r>
      <rPr>
        <b/>
        <i/>
        <sz val="9"/>
        <color indexed="8"/>
        <rFont val="Times New Roman"/>
        <family val="1"/>
      </rPr>
      <t xml:space="preserve"> / 2 </t>
    </r>
    <r>
      <rPr>
        <b/>
        <sz val="9"/>
        <color indexed="8"/>
        <rFont val="Times New Roman"/>
        <family val="1"/>
      </rPr>
      <t>)</t>
    </r>
    <phoneticPr fontId="2" type="noConversion"/>
  </si>
  <si>
    <r>
      <rPr>
        <b/>
        <sz val="9"/>
        <color indexed="8"/>
        <rFont val="Times New Roman"/>
        <family val="1"/>
      </rPr>
      <t>(</t>
    </r>
    <r>
      <rPr>
        <b/>
        <i/>
        <sz val="9"/>
        <color indexed="8"/>
        <rFont val="Times New Roman"/>
        <family val="1"/>
      </rPr>
      <t xml:space="preserve"> wa</t>
    </r>
    <r>
      <rPr>
        <b/>
        <i/>
        <vertAlign val="superscript"/>
        <sz val="9"/>
        <color indexed="8"/>
        <rFont val="Times New Roman"/>
        <family val="1"/>
      </rPr>
      <t>4</t>
    </r>
    <r>
      <rPr>
        <b/>
        <i/>
        <sz val="9"/>
        <color indexed="8"/>
        <rFont val="Times New Roman"/>
        <family val="1"/>
      </rPr>
      <t xml:space="preserve"> / 8 EI </t>
    </r>
    <r>
      <rPr>
        <b/>
        <sz val="9"/>
        <color indexed="8"/>
        <rFont val="Times New Roman"/>
        <family val="1"/>
      </rPr>
      <t>)</t>
    </r>
    <r>
      <rPr>
        <b/>
        <i/>
        <sz val="9"/>
        <color indexed="8"/>
        <rFont val="Times New Roman"/>
        <family val="1"/>
      </rPr>
      <t xml:space="preserve"> + </t>
    </r>
    <r>
      <rPr>
        <b/>
        <sz val="9"/>
        <color indexed="8"/>
        <rFont val="Times New Roman"/>
        <family val="1"/>
      </rPr>
      <t>( (</t>
    </r>
    <r>
      <rPr>
        <b/>
        <i/>
        <sz val="9"/>
        <color indexed="8"/>
        <rFont val="Times New Roman"/>
        <family val="1"/>
      </rPr>
      <t xml:space="preserve"> w L a </t>
    </r>
    <r>
      <rPr>
        <b/>
        <sz val="9"/>
        <color indexed="8"/>
        <rFont val="Times New Roman"/>
        <family val="1"/>
      </rPr>
      <t>(</t>
    </r>
    <r>
      <rPr>
        <b/>
        <i/>
        <sz val="9"/>
        <color indexed="8"/>
        <rFont val="Times New Roman"/>
        <family val="1"/>
      </rPr>
      <t xml:space="preserve"> 4a</t>
    </r>
    <r>
      <rPr>
        <b/>
        <i/>
        <vertAlign val="superscript"/>
        <sz val="9"/>
        <color indexed="8"/>
        <rFont val="Times New Roman"/>
        <family val="1"/>
      </rPr>
      <t>2</t>
    </r>
    <r>
      <rPr>
        <b/>
        <i/>
        <sz val="9"/>
        <color indexed="8"/>
        <rFont val="Times New Roman"/>
        <family val="1"/>
      </rPr>
      <t xml:space="preserve"> - L</t>
    </r>
    <r>
      <rPr>
        <b/>
        <i/>
        <vertAlign val="superscript"/>
        <sz val="9"/>
        <color indexed="8"/>
        <rFont val="Times New Roman"/>
        <family val="1"/>
      </rPr>
      <t xml:space="preserve">2 </t>
    </r>
    <r>
      <rPr>
        <b/>
        <i/>
        <sz val="9"/>
        <color indexed="8"/>
        <rFont val="Times New Roman"/>
        <family val="1"/>
      </rPr>
      <t xml:space="preserve">) </t>
    </r>
    <r>
      <rPr>
        <b/>
        <sz val="9"/>
        <color indexed="8"/>
        <rFont val="Times New Roman"/>
        <family val="1"/>
      </rPr>
      <t>)</t>
    </r>
    <r>
      <rPr>
        <b/>
        <i/>
        <sz val="9"/>
        <color indexed="8"/>
        <rFont val="Times New Roman"/>
        <family val="1"/>
      </rPr>
      <t xml:space="preserve"> /  24 EI </t>
    </r>
    <r>
      <rPr>
        <b/>
        <sz val="9"/>
        <color indexed="8"/>
        <rFont val="Times New Roman"/>
        <family val="1"/>
      </rPr>
      <t>)</t>
    </r>
    <phoneticPr fontId="2" type="noConversion"/>
  </si>
  <si>
    <r>
      <t>Δ</t>
    </r>
    <r>
      <rPr>
        <b/>
        <i/>
        <vertAlign val="subscript"/>
        <sz val="9"/>
        <rFont val="Times New Roman"/>
        <family val="1"/>
      </rPr>
      <t>MAX1</t>
    </r>
    <phoneticPr fontId="2" type="noConversion"/>
  </si>
  <si>
    <r>
      <rPr>
        <b/>
        <sz val="9"/>
        <color indexed="8"/>
        <rFont val="Times New Roman"/>
        <family val="1"/>
      </rPr>
      <t>(</t>
    </r>
    <r>
      <rPr>
        <b/>
        <i/>
        <sz val="9"/>
        <color indexed="8"/>
        <rFont val="Times New Roman"/>
        <family val="1"/>
      </rPr>
      <t xml:space="preserve"> 5 wL</t>
    </r>
    <r>
      <rPr>
        <b/>
        <i/>
        <vertAlign val="superscript"/>
        <sz val="9"/>
        <color indexed="8"/>
        <rFont val="Times New Roman"/>
        <family val="1"/>
      </rPr>
      <t>4</t>
    </r>
    <r>
      <rPr>
        <b/>
        <i/>
        <sz val="9"/>
        <color indexed="8"/>
        <rFont val="Times New Roman"/>
        <family val="1"/>
      </rPr>
      <t xml:space="preserve"> / 384 EI </t>
    </r>
    <r>
      <rPr>
        <b/>
        <sz val="9"/>
        <color indexed="8"/>
        <rFont val="Times New Roman"/>
        <family val="1"/>
      </rPr>
      <t>)</t>
    </r>
    <r>
      <rPr>
        <b/>
        <i/>
        <sz val="9"/>
        <color indexed="8"/>
        <rFont val="Times New Roman"/>
        <family val="1"/>
      </rPr>
      <t xml:space="preserve"> - </t>
    </r>
    <r>
      <rPr>
        <b/>
        <sz val="9"/>
        <color indexed="8"/>
        <rFont val="Times New Roman"/>
        <family val="1"/>
      </rPr>
      <t>(</t>
    </r>
    <r>
      <rPr>
        <b/>
        <i/>
        <sz val="9"/>
        <color indexed="8"/>
        <rFont val="Times New Roman"/>
        <family val="1"/>
      </rPr>
      <t xml:space="preserve"> M</t>
    </r>
    <r>
      <rPr>
        <b/>
        <i/>
        <vertAlign val="subscript"/>
        <sz val="9"/>
        <color indexed="8"/>
        <rFont val="Times New Roman"/>
        <family val="1"/>
      </rPr>
      <t xml:space="preserve">B </t>
    </r>
    <r>
      <rPr>
        <b/>
        <i/>
        <sz val="9"/>
        <color indexed="8"/>
        <rFont val="Times New Roman"/>
        <family val="1"/>
      </rPr>
      <t>L</t>
    </r>
    <r>
      <rPr>
        <b/>
        <i/>
        <vertAlign val="superscript"/>
        <sz val="9"/>
        <color indexed="8"/>
        <rFont val="Times New Roman"/>
        <family val="1"/>
      </rPr>
      <t>2</t>
    </r>
    <r>
      <rPr>
        <b/>
        <i/>
        <sz val="9"/>
        <color indexed="8"/>
        <rFont val="Times New Roman"/>
        <family val="1"/>
      </rPr>
      <t xml:space="preserve"> / 16 EI </t>
    </r>
    <r>
      <rPr>
        <b/>
        <sz val="9"/>
        <color indexed="8"/>
        <rFont val="Times New Roman"/>
        <family val="1"/>
      </rPr>
      <t>)</t>
    </r>
    <phoneticPr fontId="2" type="noConversion"/>
  </si>
  <si>
    <t>(1) FORMULARS TO CALCULATION</t>
    <phoneticPr fontId="2" type="noConversion"/>
  </si>
  <si>
    <r>
      <rPr>
        <b/>
        <sz val="9"/>
        <rFont val="Times New Roman"/>
        <family val="1"/>
      </rPr>
      <t>(</t>
    </r>
    <r>
      <rPr>
        <b/>
        <i/>
        <sz val="9"/>
        <rFont val="Times New Roman"/>
        <family val="1"/>
      </rPr>
      <t xml:space="preserve"> P * a </t>
    </r>
    <r>
      <rPr>
        <b/>
        <sz val="9"/>
        <rFont val="Times New Roman"/>
        <family val="1"/>
      </rPr>
      <t>)</t>
    </r>
    <r>
      <rPr>
        <b/>
        <i/>
        <sz val="9"/>
        <rFont val="Times New Roman"/>
        <family val="1"/>
      </rPr>
      <t xml:space="preserve">  /  L</t>
    </r>
    <phoneticPr fontId="2" type="noConversion"/>
  </si>
  <si>
    <r>
      <rPr>
        <b/>
        <sz val="9"/>
        <rFont val="Times New Roman"/>
        <family val="1"/>
      </rPr>
      <t>(</t>
    </r>
    <r>
      <rPr>
        <b/>
        <i/>
        <sz val="9"/>
        <rFont val="Times New Roman"/>
        <family val="1"/>
      </rPr>
      <t xml:space="preserve"> a + L </t>
    </r>
    <r>
      <rPr>
        <b/>
        <sz val="9"/>
        <rFont val="Times New Roman"/>
        <family val="1"/>
      </rPr>
      <t>)</t>
    </r>
    <r>
      <rPr>
        <b/>
        <i/>
        <sz val="9"/>
        <rFont val="Times New Roman"/>
        <family val="1"/>
      </rPr>
      <t xml:space="preserve">  /  L * P</t>
    </r>
    <r>
      <rPr>
        <b/>
        <i/>
        <vertAlign val="subscript"/>
        <sz val="9"/>
        <rFont val="Times New Roman"/>
        <family val="1"/>
      </rPr>
      <t>W</t>
    </r>
    <phoneticPr fontId="2" type="noConversion"/>
  </si>
  <si>
    <r>
      <rPr>
        <b/>
        <sz val="9"/>
        <rFont val="Times New Roman"/>
        <family val="1"/>
      </rPr>
      <t>(</t>
    </r>
    <r>
      <rPr>
        <b/>
        <i/>
        <sz val="9"/>
        <rFont val="Times New Roman"/>
        <family val="1"/>
      </rPr>
      <t xml:space="preserve"> P * a </t>
    </r>
    <r>
      <rPr>
        <b/>
        <sz val="9"/>
        <rFont val="Times New Roman"/>
        <family val="1"/>
      </rPr>
      <t xml:space="preserve">) </t>
    </r>
    <r>
      <rPr>
        <b/>
        <i/>
        <sz val="9"/>
        <rFont val="Times New Roman"/>
        <family val="1"/>
      </rPr>
      <t xml:space="preserve"> /  L</t>
    </r>
    <phoneticPr fontId="2" type="noConversion"/>
  </si>
  <si>
    <r>
      <t>Span</t>
    </r>
    <r>
      <rPr>
        <b/>
        <i/>
        <vertAlign val="subscript"/>
        <sz val="9"/>
        <rFont val="Times New Roman"/>
        <family val="1"/>
      </rPr>
      <t>3</t>
    </r>
    <r>
      <rPr>
        <b/>
        <i/>
        <sz val="9"/>
        <rFont val="Times New Roman"/>
        <family val="1"/>
      </rPr>
      <t xml:space="preserve"> </t>
    </r>
    <r>
      <rPr>
        <b/>
        <sz val="9"/>
        <rFont val="Times New Roman"/>
        <family val="1"/>
      </rPr>
      <t xml:space="preserve">( </t>
    </r>
    <r>
      <rPr>
        <b/>
        <i/>
        <sz val="9"/>
        <rFont val="Times New Roman"/>
        <family val="1"/>
      </rPr>
      <t>E.J ~ Anchor</t>
    </r>
    <r>
      <rPr>
        <b/>
        <sz val="9"/>
        <rFont val="Times New Roman"/>
        <family val="1"/>
      </rPr>
      <t xml:space="preserve"> )</t>
    </r>
    <phoneticPr fontId="2" type="noConversion"/>
  </si>
  <si>
    <t>a</t>
    <phoneticPr fontId="2" type="noConversion"/>
  </si>
  <si>
    <r>
      <t>Span</t>
    </r>
    <r>
      <rPr>
        <b/>
        <i/>
        <vertAlign val="subscript"/>
        <sz val="9"/>
        <rFont val="Times New Roman"/>
        <family val="1"/>
      </rPr>
      <t>2</t>
    </r>
    <r>
      <rPr>
        <b/>
        <i/>
        <sz val="9"/>
        <rFont val="Times New Roman"/>
        <family val="1"/>
      </rPr>
      <t xml:space="preserve"> </t>
    </r>
    <r>
      <rPr>
        <b/>
        <sz val="9"/>
        <rFont val="Times New Roman"/>
        <family val="1"/>
      </rPr>
      <t xml:space="preserve">( </t>
    </r>
    <r>
      <rPr>
        <b/>
        <i/>
        <sz val="9"/>
        <rFont val="Times New Roman"/>
        <family val="1"/>
      </rPr>
      <t>Anchor ~ E.J</t>
    </r>
    <r>
      <rPr>
        <b/>
        <sz val="9"/>
        <rFont val="Times New Roman"/>
        <family val="1"/>
      </rPr>
      <t xml:space="preserve"> )</t>
    </r>
    <phoneticPr fontId="2" type="noConversion"/>
  </si>
  <si>
    <r>
      <t>P</t>
    </r>
    <r>
      <rPr>
        <b/>
        <i/>
        <vertAlign val="subscript"/>
        <sz val="9"/>
        <color indexed="8"/>
        <rFont val="Times New Roman"/>
        <family val="1"/>
      </rPr>
      <t>0</t>
    </r>
    <phoneticPr fontId="2" type="noConversion"/>
  </si>
  <si>
    <t>:</t>
    <phoneticPr fontId="2" type="noConversion"/>
  </si>
  <si>
    <r>
      <t xml:space="preserve">Nodal Load </t>
    </r>
    <r>
      <rPr>
        <b/>
        <sz val="9"/>
        <rFont val="Times New Roman"/>
        <family val="1"/>
      </rPr>
      <t xml:space="preserve">( </t>
    </r>
    <r>
      <rPr>
        <b/>
        <i/>
        <sz val="9"/>
        <rFont val="Times New Roman"/>
        <family val="1"/>
      </rPr>
      <t>CASE 1 , = R</t>
    </r>
    <r>
      <rPr>
        <b/>
        <vertAlign val="subscript"/>
        <sz val="9"/>
        <rFont val="Times New Roman"/>
        <family val="1"/>
      </rPr>
      <t>A</t>
    </r>
    <r>
      <rPr>
        <b/>
        <sz val="9"/>
        <rFont val="Times New Roman"/>
        <family val="1"/>
      </rPr>
      <t xml:space="preserve"> )</t>
    </r>
    <phoneticPr fontId="2" type="noConversion"/>
  </si>
  <si>
    <r>
      <rPr>
        <b/>
        <sz val="9"/>
        <rFont val="Times New Roman"/>
        <family val="1"/>
      </rPr>
      <t>(</t>
    </r>
    <r>
      <rPr>
        <b/>
        <i/>
        <sz val="9"/>
        <rFont val="Times New Roman"/>
        <family val="1"/>
      </rPr>
      <t xml:space="preserve"> P * a </t>
    </r>
    <r>
      <rPr>
        <b/>
        <sz val="9"/>
        <rFont val="Times New Roman"/>
        <family val="1"/>
      </rPr>
      <t xml:space="preserve">) </t>
    </r>
    <r>
      <rPr>
        <b/>
        <i/>
        <sz val="9"/>
        <rFont val="Times New Roman"/>
        <family val="1"/>
      </rPr>
      <t xml:space="preserve"> /  L</t>
    </r>
    <phoneticPr fontId="2" type="noConversion"/>
  </si>
  <si>
    <r>
      <rPr>
        <b/>
        <sz val="9"/>
        <rFont val="Times New Roman"/>
        <family val="1"/>
      </rPr>
      <t>(</t>
    </r>
    <r>
      <rPr>
        <b/>
        <i/>
        <sz val="9"/>
        <rFont val="Times New Roman"/>
        <family val="1"/>
      </rPr>
      <t xml:space="preserve"> a + L </t>
    </r>
    <r>
      <rPr>
        <b/>
        <sz val="9"/>
        <rFont val="Times New Roman"/>
        <family val="1"/>
      </rPr>
      <t>)</t>
    </r>
    <r>
      <rPr>
        <b/>
        <i/>
        <sz val="9"/>
        <rFont val="Times New Roman"/>
        <family val="1"/>
      </rPr>
      <t xml:space="preserve">  /  L * P</t>
    </r>
    <r>
      <rPr>
        <b/>
        <i/>
        <vertAlign val="subscript"/>
        <sz val="9"/>
        <rFont val="Times New Roman"/>
        <family val="1"/>
      </rPr>
      <t>W</t>
    </r>
    <phoneticPr fontId="2" type="noConversion"/>
  </si>
  <si>
    <t>P * a</t>
    <phoneticPr fontId="2" type="noConversion"/>
  </si>
  <si>
    <r>
      <t>M</t>
    </r>
    <r>
      <rPr>
        <b/>
        <i/>
        <vertAlign val="subscript"/>
        <sz val="9"/>
        <rFont val="Times New Roman"/>
        <family val="1"/>
      </rPr>
      <t>x1</t>
    </r>
    <phoneticPr fontId="2" type="noConversion"/>
  </si>
  <si>
    <r>
      <rPr>
        <b/>
        <sz val="9"/>
        <rFont val="Times New Roman"/>
        <family val="1"/>
      </rPr>
      <t>(</t>
    </r>
    <r>
      <rPr>
        <b/>
        <i/>
        <sz val="9"/>
        <rFont val="Times New Roman"/>
        <family val="1"/>
      </rPr>
      <t xml:space="preserve"> P * a </t>
    </r>
    <r>
      <rPr>
        <b/>
        <sz val="9"/>
        <rFont val="Times New Roman"/>
        <family val="1"/>
      </rPr>
      <t>)</t>
    </r>
    <r>
      <rPr>
        <b/>
        <i/>
        <sz val="9"/>
        <rFont val="Times New Roman"/>
        <family val="1"/>
      </rPr>
      <t xml:space="preserve"> * </t>
    </r>
    <r>
      <rPr>
        <b/>
        <sz val="9"/>
        <rFont val="Times New Roman"/>
        <family val="1"/>
      </rPr>
      <t>(</t>
    </r>
    <r>
      <rPr>
        <b/>
        <i/>
        <sz val="9"/>
        <rFont val="Times New Roman"/>
        <family val="1"/>
      </rPr>
      <t xml:space="preserve"> x</t>
    </r>
    <r>
      <rPr>
        <b/>
        <i/>
        <vertAlign val="subscript"/>
        <sz val="9"/>
        <rFont val="Times New Roman"/>
        <family val="1"/>
      </rPr>
      <t>1</t>
    </r>
    <r>
      <rPr>
        <b/>
        <i/>
        <sz val="9"/>
        <rFont val="Times New Roman"/>
        <family val="1"/>
      </rPr>
      <t xml:space="preserve"> / L </t>
    </r>
    <r>
      <rPr>
        <b/>
        <sz val="9"/>
        <rFont val="Times New Roman"/>
        <family val="1"/>
      </rPr>
      <t>)</t>
    </r>
    <phoneticPr fontId="2" type="noConversion"/>
  </si>
  <si>
    <r>
      <rPr>
        <b/>
        <sz val="9"/>
        <rFont val="Times New Roman"/>
        <family val="1"/>
      </rPr>
      <t>(</t>
    </r>
    <r>
      <rPr>
        <b/>
        <i/>
        <sz val="9"/>
        <rFont val="Times New Roman"/>
        <family val="1"/>
      </rPr>
      <t xml:space="preserve"> x</t>
    </r>
    <r>
      <rPr>
        <b/>
        <i/>
        <vertAlign val="subscript"/>
        <sz val="9"/>
        <rFont val="Times New Roman"/>
        <family val="1"/>
      </rPr>
      <t>1</t>
    </r>
    <r>
      <rPr>
        <b/>
        <i/>
        <sz val="9"/>
        <rFont val="Times New Roman"/>
        <family val="1"/>
      </rPr>
      <t xml:space="preserve"> = L /</t>
    </r>
    <r>
      <rPr>
        <b/>
        <sz val="9"/>
        <rFont val="한컴돋움"/>
        <family val="1"/>
        <charset val="129"/>
      </rPr>
      <t>√</t>
    </r>
    <r>
      <rPr>
        <b/>
        <i/>
        <sz val="9"/>
        <rFont val="Times New Roman"/>
        <family val="1"/>
      </rPr>
      <t xml:space="preserve">3 </t>
    </r>
    <r>
      <rPr>
        <b/>
        <sz val="9"/>
        <rFont val="Times New Roman"/>
        <family val="1"/>
      </rPr>
      <t>)</t>
    </r>
    <phoneticPr fontId="2" type="noConversion"/>
  </si>
  <si>
    <r>
      <t>Δ</t>
    </r>
    <r>
      <rPr>
        <b/>
        <i/>
        <vertAlign val="subscript"/>
        <sz val="9"/>
        <rFont val="Times New Roman"/>
        <family val="1"/>
      </rPr>
      <t>MAX</t>
    </r>
    <phoneticPr fontId="2" type="noConversion"/>
  </si>
  <si>
    <r>
      <rPr>
        <b/>
        <sz val="9"/>
        <rFont val="Times New Roman"/>
        <family val="1"/>
      </rPr>
      <t>(</t>
    </r>
    <r>
      <rPr>
        <b/>
        <i/>
        <sz val="9"/>
        <rFont val="Times New Roman"/>
        <family val="1"/>
      </rPr>
      <t xml:space="preserve"> 0.0642 P a * L</t>
    </r>
    <r>
      <rPr>
        <b/>
        <i/>
        <vertAlign val="superscript"/>
        <sz val="9"/>
        <rFont val="Times New Roman"/>
        <family val="1"/>
      </rPr>
      <t>2</t>
    </r>
    <r>
      <rPr>
        <b/>
        <i/>
        <sz val="9"/>
        <rFont val="Times New Roman"/>
        <family val="1"/>
      </rPr>
      <t xml:space="preserve"> / EI </t>
    </r>
    <r>
      <rPr>
        <b/>
        <sz val="9"/>
        <rFont val="Times New Roman"/>
        <family val="1"/>
      </rPr>
      <t>)</t>
    </r>
    <phoneticPr fontId="2" type="noConversion"/>
  </si>
  <si>
    <r>
      <t>x</t>
    </r>
    <r>
      <rPr>
        <b/>
        <i/>
        <vertAlign val="subscript"/>
        <sz val="9"/>
        <rFont val="Times New Roman"/>
        <family val="1"/>
      </rPr>
      <t>1</t>
    </r>
    <phoneticPr fontId="2" type="noConversion"/>
  </si>
  <si>
    <r>
      <t>Span, x</t>
    </r>
    <r>
      <rPr>
        <b/>
        <i/>
        <vertAlign val="subscript"/>
        <sz val="9"/>
        <rFont val="Times New Roman"/>
        <family val="1"/>
      </rPr>
      <t>1</t>
    </r>
    <r>
      <rPr>
        <b/>
        <i/>
        <sz val="9"/>
        <rFont val="Times New Roman"/>
        <family val="1"/>
      </rPr>
      <t xml:space="preserve">  </t>
    </r>
    <r>
      <rPr>
        <b/>
        <sz val="9"/>
        <rFont val="Times New Roman"/>
        <family val="1"/>
      </rPr>
      <t>:</t>
    </r>
    <r>
      <rPr>
        <b/>
        <i/>
        <sz val="9"/>
        <rFont val="Times New Roman"/>
        <family val="1"/>
      </rPr>
      <t xml:space="preserve">  </t>
    </r>
    <r>
      <rPr>
        <b/>
        <sz val="9"/>
        <rFont val="Times New Roman"/>
        <family val="1"/>
      </rPr>
      <t>(</t>
    </r>
    <r>
      <rPr>
        <b/>
        <i/>
        <sz val="9"/>
        <rFont val="Times New Roman"/>
        <family val="1"/>
      </rPr>
      <t xml:space="preserve"> L</t>
    </r>
    <r>
      <rPr>
        <b/>
        <i/>
        <vertAlign val="superscript"/>
        <sz val="9"/>
        <rFont val="Times New Roman"/>
        <family val="1"/>
      </rPr>
      <t>2</t>
    </r>
    <r>
      <rPr>
        <b/>
        <i/>
        <sz val="9"/>
        <rFont val="Times New Roman"/>
        <family val="1"/>
      </rPr>
      <t xml:space="preserve"> - a</t>
    </r>
    <r>
      <rPr>
        <b/>
        <i/>
        <vertAlign val="superscript"/>
        <sz val="9"/>
        <rFont val="Times New Roman"/>
        <family val="1"/>
      </rPr>
      <t xml:space="preserve">2 </t>
    </r>
    <r>
      <rPr>
        <b/>
        <sz val="9"/>
        <rFont val="Times New Roman"/>
        <family val="1"/>
      </rPr>
      <t>)</t>
    </r>
    <r>
      <rPr>
        <b/>
        <i/>
        <sz val="9"/>
        <rFont val="Times New Roman"/>
        <family val="1"/>
      </rPr>
      <t xml:space="preserve"> / </t>
    </r>
    <r>
      <rPr>
        <b/>
        <sz val="9"/>
        <rFont val="Times New Roman"/>
        <family val="1"/>
      </rPr>
      <t>(</t>
    </r>
    <r>
      <rPr>
        <b/>
        <i/>
        <sz val="9"/>
        <rFont val="Times New Roman"/>
        <family val="1"/>
      </rPr>
      <t xml:space="preserve"> 2 L </t>
    </r>
    <r>
      <rPr>
        <b/>
        <sz val="9"/>
        <rFont val="Times New Roman"/>
        <family val="1"/>
      </rPr>
      <t>)</t>
    </r>
    <phoneticPr fontId="2" type="noConversion"/>
  </si>
  <si>
    <r>
      <t xml:space="preserve">Nodal Load  </t>
    </r>
    <r>
      <rPr>
        <b/>
        <sz val="9"/>
        <rFont val="Times New Roman"/>
        <family val="1"/>
      </rPr>
      <t xml:space="preserve">( </t>
    </r>
    <r>
      <rPr>
        <b/>
        <i/>
        <sz val="9"/>
        <rFont val="Times New Roman"/>
        <family val="1"/>
      </rPr>
      <t>CASE 1 , = R</t>
    </r>
    <r>
      <rPr>
        <b/>
        <i/>
        <vertAlign val="subscript"/>
        <sz val="9"/>
        <rFont val="Times New Roman"/>
        <family val="1"/>
      </rPr>
      <t>A</t>
    </r>
    <r>
      <rPr>
        <b/>
        <sz val="9"/>
        <rFont val="Times New Roman"/>
        <family val="1"/>
      </rPr>
      <t xml:space="preserve"> )</t>
    </r>
    <phoneticPr fontId="2" type="noConversion"/>
  </si>
  <si>
    <t>P</t>
    <phoneticPr fontId="2" type="noConversion"/>
  </si>
  <si>
    <t>=</t>
    <phoneticPr fontId="2" type="noConversion"/>
  </si>
  <si>
    <r>
      <t xml:space="preserve">Nodal Load  </t>
    </r>
    <r>
      <rPr>
        <b/>
        <sz val="9"/>
        <rFont val="Times New Roman"/>
        <family val="1"/>
      </rPr>
      <t>(</t>
    </r>
    <r>
      <rPr>
        <b/>
        <i/>
        <sz val="9"/>
        <rFont val="Times New Roman"/>
        <family val="1"/>
      </rPr>
      <t xml:space="preserve"> P</t>
    </r>
    <r>
      <rPr>
        <b/>
        <i/>
        <vertAlign val="subscript"/>
        <sz val="9"/>
        <rFont val="Times New Roman"/>
        <family val="1"/>
      </rPr>
      <t>0</t>
    </r>
    <r>
      <rPr>
        <b/>
        <i/>
        <sz val="9"/>
        <rFont val="Times New Roman"/>
        <family val="1"/>
      </rPr>
      <t xml:space="preserve"> - R</t>
    </r>
    <r>
      <rPr>
        <b/>
        <i/>
        <vertAlign val="subscript"/>
        <sz val="9"/>
        <rFont val="Times New Roman"/>
        <family val="1"/>
      </rPr>
      <t xml:space="preserve">A </t>
    </r>
    <r>
      <rPr>
        <b/>
        <sz val="9"/>
        <rFont val="Times New Roman"/>
        <family val="1"/>
      </rPr>
      <t>)</t>
    </r>
    <phoneticPr fontId="2" type="noConversion"/>
  </si>
  <si>
    <t>E</t>
    <phoneticPr fontId="2" type="noConversion"/>
  </si>
  <si>
    <t>:</t>
    <phoneticPr fontId="2" type="noConversion"/>
  </si>
  <si>
    <t>Modulus of Elasticity</t>
    <phoneticPr fontId="2" type="noConversion"/>
  </si>
  <si>
    <t>I</t>
    <phoneticPr fontId="2" type="noConversion"/>
  </si>
  <si>
    <t>=</t>
    <phoneticPr fontId="2" type="noConversion"/>
  </si>
  <si>
    <t>:</t>
    <phoneticPr fontId="2" type="noConversion"/>
  </si>
  <si>
    <t>Moment of Inertia</t>
    <phoneticPr fontId="2" type="noConversion"/>
  </si>
  <si>
    <t>=</t>
    <phoneticPr fontId="2" type="noConversion"/>
  </si>
  <si>
    <r>
      <t>Δ</t>
    </r>
    <r>
      <rPr>
        <b/>
        <i/>
        <vertAlign val="subscript"/>
        <sz val="9"/>
        <rFont val="Times New Roman"/>
        <family val="1"/>
      </rPr>
      <t>C3</t>
    </r>
    <phoneticPr fontId="2" type="noConversion"/>
  </si>
  <si>
    <r>
      <rPr>
        <b/>
        <sz val="9"/>
        <color indexed="8"/>
        <rFont val="Times New Roman"/>
        <family val="1"/>
      </rPr>
      <t>( (</t>
    </r>
    <r>
      <rPr>
        <b/>
        <i/>
        <sz val="9"/>
        <color indexed="8"/>
        <rFont val="Times New Roman"/>
        <family val="1"/>
      </rPr>
      <t xml:space="preserve"> P a</t>
    </r>
    <r>
      <rPr>
        <b/>
        <i/>
        <vertAlign val="superscript"/>
        <sz val="9"/>
        <color indexed="8"/>
        <rFont val="Times New Roman"/>
        <family val="1"/>
      </rPr>
      <t>2</t>
    </r>
    <r>
      <rPr>
        <b/>
        <i/>
        <sz val="9"/>
        <color indexed="8"/>
        <rFont val="Times New Roman"/>
        <family val="1"/>
      </rPr>
      <t xml:space="preserve"> </t>
    </r>
    <r>
      <rPr>
        <b/>
        <sz val="9"/>
        <color indexed="8"/>
        <rFont val="Times New Roman"/>
        <family val="1"/>
      </rPr>
      <t>(</t>
    </r>
    <r>
      <rPr>
        <b/>
        <i/>
        <sz val="9"/>
        <color indexed="8"/>
        <rFont val="Times New Roman"/>
        <family val="1"/>
      </rPr>
      <t xml:space="preserve"> L + a </t>
    </r>
    <r>
      <rPr>
        <b/>
        <sz val="9"/>
        <color indexed="8"/>
        <rFont val="Times New Roman"/>
        <family val="1"/>
      </rPr>
      <t>) )</t>
    </r>
    <r>
      <rPr>
        <b/>
        <i/>
        <sz val="9"/>
        <color indexed="8"/>
        <rFont val="Times New Roman"/>
        <family val="1"/>
      </rPr>
      <t xml:space="preserve"> / 3EI </t>
    </r>
    <r>
      <rPr>
        <b/>
        <sz val="9"/>
        <color indexed="8"/>
        <rFont val="Times New Roman"/>
        <family val="1"/>
      </rPr>
      <t>)</t>
    </r>
    <phoneticPr fontId="2" type="noConversion"/>
  </si>
  <si>
    <t>=</t>
    <phoneticPr fontId="2" type="noConversion"/>
  </si>
  <si>
    <r>
      <t>Δ</t>
    </r>
    <r>
      <rPr>
        <b/>
        <i/>
        <vertAlign val="subscript"/>
        <sz val="9"/>
        <rFont val="Times New Roman"/>
        <family val="1"/>
      </rPr>
      <t>MAX3</t>
    </r>
    <phoneticPr fontId="2" type="noConversion"/>
  </si>
  <si>
    <r>
      <rPr>
        <b/>
        <sz val="9"/>
        <rFont val="Times New Roman"/>
        <family val="1"/>
      </rPr>
      <t>(</t>
    </r>
    <r>
      <rPr>
        <b/>
        <i/>
        <sz val="9"/>
        <rFont val="Times New Roman"/>
        <family val="1"/>
      </rPr>
      <t xml:space="preserve"> 0.0642 P a * L</t>
    </r>
    <r>
      <rPr>
        <b/>
        <i/>
        <vertAlign val="superscript"/>
        <sz val="9"/>
        <rFont val="Times New Roman"/>
        <family val="1"/>
      </rPr>
      <t>2</t>
    </r>
    <r>
      <rPr>
        <b/>
        <i/>
        <sz val="9"/>
        <rFont val="Times New Roman"/>
        <family val="1"/>
      </rPr>
      <t xml:space="preserve"> / EI </t>
    </r>
    <r>
      <rPr>
        <b/>
        <sz val="9"/>
        <rFont val="Times New Roman"/>
        <family val="1"/>
      </rPr>
      <t>)</t>
    </r>
    <phoneticPr fontId="2" type="noConversion"/>
  </si>
  <si>
    <t>* 자동 1 입력시 입력부분</t>
    <phoneticPr fontId="2" type="noConversion"/>
  </si>
  <si>
    <t>* 수동 2 입력시 입력부분</t>
    <phoneticPr fontId="2" type="noConversion"/>
  </si>
  <si>
    <t>-. Tubular Shapes</t>
    <phoneticPr fontId="2" type="noConversion"/>
  </si>
  <si>
    <t>F.3.1</t>
    <phoneticPr fontId="2" type="noConversion"/>
  </si>
  <si>
    <t>#.</t>
    <phoneticPr fontId="2" type="noConversion"/>
  </si>
  <si>
    <t>6063-</t>
    <phoneticPr fontId="2" type="noConversion"/>
  </si>
  <si>
    <t xml:space="preserve">STEP. 1 </t>
    <phoneticPr fontId="2" type="noConversion"/>
  </si>
  <si>
    <r>
      <t>2*L</t>
    </r>
    <r>
      <rPr>
        <b/>
        <i/>
        <vertAlign val="subscript"/>
        <sz val="9"/>
        <rFont val="Times New Roman"/>
        <family val="1"/>
      </rPr>
      <t>b</t>
    </r>
    <r>
      <rPr>
        <b/>
        <i/>
        <sz val="9"/>
        <rFont val="Times New Roman"/>
        <family val="1"/>
      </rPr>
      <t>S</t>
    </r>
    <r>
      <rPr>
        <b/>
        <i/>
        <vertAlign val="subscript"/>
        <sz val="9"/>
        <rFont val="Times New Roman"/>
        <family val="1"/>
      </rPr>
      <t>X</t>
    </r>
    <phoneticPr fontId="2" type="noConversion"/>
  </si>
  <si>
    <t>=</t>
  </si>
  <si>
    <t>S  ≤  S₁</t>
    <phoneticPr fontId="2" type="noConversion"/>
  </si>
  <si>
    <r>
      <t>S</t>
    </r>
    <r>
      <rPr>
        <b/>
        <vertAlign val="subscript"/>
        <sz val="9"/>
        <rFont val="한컴바탕"/>
        <family val="1"/>
        <charset val="129"/>
      </rPr>
      <t>1</t>
    </r>
    <phoneticPr fontId="2" type="noConversion"/>
  </si>
  <si>
    <r>
      <t>S</t>
    </r>
    <r>
      <rPr>
        <b/>
        <vertAlign val="subscript"/>
        <sz val="9"/>
        <rFont val="한컴바탕"/>
        <family val="1"/>
        <charset val="129"/>
      </rPr>
      <t>2</t>
    </r>
    <phoneticPr fontId="2" type="noConversion"/>
  </si>
  <si>
    <r>
      <t>I</t>
    </r>
    <r>
      <rPr>
        <b/>
        <i/>
        <vertAlign val="subscript"/>
        <sz val="9"/>
        <rFont val="Times New Roman"/>
        <family val="1"/>
      </rPr>
      <t>Y</t>
    </r>
    <phoneticPr fontId="2" type="noConversion"/>
  </si>
  <si>
    <r>
      <rPr>
        <b/>
        <i/>
        <sz val="9"/>
        <rFont val="한컴돋움"/>
        <family val="1"/>
        <charset val="129"/>
      </rPr>
      <t>√</t>
    </r>
    <r>
      <rPr>
        <b/>
        <i/>
        <sz val="9"/>
        <rFont val="Times New Roman"/>
        <family val="1"/>
      </rPr>
      <t>I</t>
    </r>
    <r>
      <rPr>
        <b/>
        <i/>
        <vertAlign val="subscript"/>
        <sz val="9"/>
        <rFont val="Times New Roman"/>
        <family val="1"/>
      </rPr>
      <t>Y</t>
    </r>
    <r>
      <rPr>
        <b/>
        <i/>
        <sz val="9"/>
        <rFont val="Times New Roman"/>
        <family val="1"/>
      </rPr>
      <t>J</t>
    </r>
    <phoneticPr fontId="2" type="noConversion"/>
  </si>
  <si>
    <t>S₁</t>
    <phoneticPr fontId="2" type="noConversion"/>
  </si>
  <si>
    <t>S₁&lt;  S  &lt; S₂</t>
    <phoneticPr fontId="2" type="noConversion"/>
  </si>
  <si>
    <t>STEP. 2</t>
    <phoneticPr fontId="2" type="noConversion"/>
  </si>
  <si>
    <t>J</t>
    <phoneticPr fontId="2" type="noConversion"/>
  </si>
  <si>
    <t>=</t>
    <phoneticPr fontId="2" type="noConversion"/>
  </si>
  <si>
    <t>S₂</t>
    <phoneticPr fontId="2" type="noConversion"/>
  </si>
  <si>
    <t>S</t>
    <phoneticPr fontId="2" type="noConversion"/>
  </si>
  <si>
    <r>
      <t>F</t>
    </r>
    <r>
      <rPr>
        <b/>
        <i/>
        <vertAlign val="subscript"/>
        <sz val="9"/>
        <rFont val="Times New Roman"/>
        <family val="1"/>
      </rPr>
      <t>b1</t>
    </r>
    <phoneticPr fontId="2" type="noConversion"/>
  </si>
  <si>
    <t>S  ≥  S₂</t>
    <phoneticPr fontId="2" type="noConversion"/>
  </si>
  <si>
    <t xml:space="preserve">-. Flat Elements Supported On Both Edges </t>
    <phoneticPr fontId="2" type="noConversion"/>
  </si>
  <si>
    <t>B.5.4.2</t>
    <phoneticPr fontId="2" type="noConversion"/>
  </si>
  <si>
    <t>#.</t>
    <phoneticPr fontId="2" type="noConversion"/>
  </si>
  <si>
    <t>6063-</t>
    <phoneticPr fontId="2" type="noConversion"/>
  </si>
  <si>
    <t xml:space="preserve">STEP. 1 </t>
    <phoneticPr fontId="2" type="noConversion"/>
  </si>
  <si>
    <t>b</t>
    <phoneticPr fontId="2" type="noConversion"/>
  </si>
  <si>
    <t>=</t>
    <phoneticPr fontId="2" type="noConversion"/>
  </si>
  <si>
    <t>S₁&lt;  S  &lt; S₂</t>
    <phoneticPr fontId="2" type="noConversion"/>
  </si>
  <si>
    <t>STEP. 2</t>
    <phoneticPr fontId="2" type="noConversion"/>
  </si>
  <si>
    <r>
      <t>F</t>
    </r>
    <r>
      <rPr>
        <b/>
        <i/>
        <vertAlign val="subscript"/>
        <sz val="9"/>
        <rFont val="Times New Roman"/>
        <family val="1"/>
      </rPr>
      <t>b2</t>
    </r>
    <phoneticPr fontId="2" type="noConversion"/>
  </si>
  <si>
    <t>S₂</t>
    <phoneticPr fontId="2" type="noConversion"/>
  </si>
  <si>
    <t>S</t>
    <phoneticPr fontId="2" type="noConversion"/>
  </si>
  <si>
    <t>S  ≥  S₂</t>
    <phoneticPr fontId="2" type="noConversion"/>
  </si>
  <si>
    <t xml:space="preserve">-. Flat Elements Supported On Both Edges </t>
    <phoneticPr fontId="2" type="noConversion"/>
  </si>
  <si>
    <t>B.5.5.1</t>
    <phoneticPr fontId="2" type="noConversion"/>
  </si>
  <si>
    <t>#.</t>
    <phoneticPr fontId="2" type="noConversion"/>
  </si>
  <si>
    <t>6063-</t>
    <phoneticPr fontId="2" type="noConversion"/>
  </si>
  <si>
    <t xml:space="preserve">STEP. 1 </t>
    <phoneticPr fontId="2" type="noConversion"/>
  </si>
  <si>
    <t>STEP. 3</t>
    <phoneticPr fontId="2" type="noConversion"/>
  </si>
  <si>
    <t>h</t>
    <phoneticPr fontId="2" type="noConversion"/>
  </si>
  <si>
    <t>S  ≤  S₁</t>
    <phoneticPr fontId="2" type="noConversion"/>
  </si>
  <si>
    <r>
      <t>S</t>
    </r>
    <r>
      <rPr>
        <b/>
        <vertAlign val="subscript"/>
        <sz val="9"/>
        <rFont val="한컴바탕"/>
        <family val="1"/>
        <charset val="129"/>
      </rPr>
      <t>1</t>
    </r>
    <phoneticPr fontId="2" type="noConversion"/>
  </si>
  <si>
    <r>
      <t>S</t>
    </r>
    <r>
      <rPr>
        <b/>
        <vertAlign val="subscript"/>
        <sz val="9"/>
        <rFont val="한컴바탕"/>
        <family val="1"/>
        <charset val="129"/>
      </rPr>
      <t>2</t>
    </r>
    <phoneticPr fontId="2" type="noConversion"/>
  </si>
  <si>
    <t>t</t>
    <phoneticPr fontId="2" type="noConversion"/>
  </si>
  <si>
    <t>S₁</t>
    <phoneticPr fontId="2" type="noConversion"/>
  </si>
  <si>
    <r>
      <t>F</t>
    </r>
    <r>
      <rPr>
        <b/>
        <i/>
        <vertAlign val="subscript"/>
        <sz val="9"/>
        <rFont val="Times New Roman"/>
        <family val="1"/>
      </rPr>
      <t>b3</t>
    </r>
    <phoneticPr fontId="2" type="noConversion"/>
  </si>
  <si>
    <t>-. Calculate Actual Stress</t>
    <phoneticPr fontId="2" type="noConversion"/>
  </si>
  <si>
    <t xml:space="preserve">   /</t>
    <phoneticPr fontId="2" type="noConversion"/>
  </si>
  <si>
    <t>Determine Allowable Stress</t>
    <phoneticPr fontId="2" type="noConversion"/>
  </si>
  <si>
    <r>
      <t>f</t>
    </r>
    <r>
      <rPr>
        <b/>
        <i/>
        <vertAlign val="subscript"/>
        <sz val="9"/>
        <rFont val="Times New Roman"/>
        <family val="1"/>
      </rPr>
      <t>b</t>
    </r>
    <phoneticPr fontId="2" type="noConversion"/>
  </si>
  <si>
    <r>
      <t>F</t>
    </r>
    <r>
      <rPr>
        <b/>
        <i/>
        <vertAlign val="subscript"/>
        <sz val="9"/>
        <rFont val="Times New Roman"/>
        <family val="1"/>
      </rPr>
      <t>b</t>
    </r>
    <phoneticPr fontId="2" type="noConversion"/>
  </si>
  <si>
    <r>
      <t>MIN ( F</t>
    </r>
    <r>
      <rPr>
        <b/>
        <i/>
        <vertAlign val="subscript"/>
        <sz val="9"/>
        <rFont val="Times New Roman"/>
        <family val="1"/>
      </rPr>
      <t>b1</t>
    </r>
    <r>
      <rPr>
        <b/>
        <i/>
        <sz val="9"/>
        <rFont val="Times New Roman"/>
        <family val="1"/>
      </rPr>
      <t xml:space="preserve"> , F</t>
    </r>
    <r>
      <rPr>
        <b/>
        <i/>
        <vertAlign val="subscript"/>
        <sz val="9"/>
        <rFont val="Times New Roman"/>
        <family val="1"/>
      </rPr>
      <t>b2</t>
    </r>
    <r>
      <rPr>
        <b/>
        <i/>
        <sz val="9"/>
        <rFont val="Times New Roman"/>
        <family val="1"/>
      </rPr>
      <t xml:space="preserve"> , F</t>
    </r>
    <r>
      <rPr>
        <b/>
        <i/>
        <vertAlign val="subscript"/>
        <sz val="9"/>
        <rFont val="Times New Roman"/>
        <family val="1"/>
      </rPr>
      <t>b3</t>
    </r>
    <r>
      <rPr>
        <b/>
        <i/>
        <sz val="9"/>
        <rFont val="Times New Roman"/>
        <family val="1"/>
      </rPr>
      <t xml:space="preserve"> )</t>
    </r>
    <phoneticPr fontId="2" type="noConversion"/>
  </si>
  <si>
    <t>-. Check Stress Stability</t>
    <phoneticPr fontId="2" type="noConversion"/>
  </si>
  <si>
    <t>STEP. 3</t>
    <phoneticPr fontId="2" type="noConversion"/>
  </si>
  <si>
    <r>
      <t>L</t>
    </r>
    <r>
      <rPr>
        <b/>
        <i/>
        <vertAlign val="subscript"/>
        <sz val="9"/>
        <rFont val="Times New Roman"/>
        <family val="1"/>
      </rPr>
      <t>b</t>
    </r>
    <phoneticPr fontId="2" type="noConversion"/>
  </si>
  <si>
    <t>4) BENDING STRESS CHECK</t>
    <phoneticPr fontId="2" type="noConversion"/>
  </si>
  <si>
    <t>J</t>
    <phoneticPr fontId="2" type="noConversion"/>
  </si>
  <si>
    <r>
      <t>t</t>
    </r>
    <r>
      <rPr>
        <b/>
        <i/>
        <vertAlign val="subscript"/>
        <sz val="9"/>
        <rFont val="Times New Roman"/>
        <family val="1"/>
      </rPr>
      <t>1</t>
    </r>
    <phoneticPr fontId="2" type="noConversion"/>
  </si>
  <si>
    <r>
      <t>t</t>
    </r>
    <r>
      <rPr>
        <b/>
        <i/>
        <vertAlign val="subscript"/>
        <sz val="9"/>
        <rFont val="Times New Roman"/>
        <family val="1"/>
      </rPr>
      <t>2</t>
    </r>
    <phoneticPr fontId="2" type="noConversion"/>
  </si>
  <si>
    <t>J</t>
    <phoneticPr fontId="38" type="noConversion"/>
  </si>
  <si>
    <t>단변길이</t>
    <phoneticPr fontId="2" type="noConversion"/>
  </si>
  <si>
    <t>장변길이</t>
    <phoneticPr fontId="2" type="noConversion"/>
  </si>
  <si>
    <t>단변두께</t>
    <phoneticPr fontId="2" type="noConversion"/>
  </si>
  <si>
    <t>장변두께</t>
    <phoneticPr fontId="2" type="noConversion"/>
  </si>
  <si>
    <t>STEP. 3</t>
    <phoneticPr fontId="2" type="noConversion"/>
  </si>
  <si>
    <t>6063 -</t>
    <phoneticPr fontId="2" type="noConversion"/>
  </si>
  <si>
    <t>b  /  t</t>
    <phoneticPr fontId="2" type="noConversion"/>
  </si>
  <si>
    <t>h  /  t</t>
    <phoneticPr fontId="2" type="noConversion"/>
  </si>
  <si>
    <r>
      <t>f</t>
    </r>
    <r>
      <rPr>
        <b/>
        <i/>
        <vertAlign val="subscript"/>
        <sz val="9"/>
        <rFont val="Times New Roman"/>
        <family val="1"/>
      </rPr>
      <t xml:space="preserve">b  </t>
    </r>
    <r>
      <rPr>
        <b/>
        <i/>
        <sz val="9"/>
        <rFont val="Times New Roman"/>
        <family val="1"/>
      </rPr>
      <t>/  F</t>
    </r>
    <r>
      <rPr>
        <b/>
        <i/>
        <vertAlign val="subscript"/>
        <sz val="9"/>
        <rFont val="Times New Roman"/>
        <family val="1"/>
      </rPr>
      <t>b</t>
    </r>
    <phoneticPr fontId="2" type="noConversion"/>
  </si>
  <si>
    <r>
      <t>δ</t>
    </r>
    <r>
      <rPr>
        <b/>
        <i/>
        <vertAlign val="subscript"/>
        <sz val="9"/>
        <rFont val="Times New Roman"/>
        <family val="1"/>
      </rPr>
      <t>M</t>
    </r>
    <r>
      <rPr>
        <b/>
        <i/>
        <sz val="9"/>
        <rFont val="Times New Roman"/>
        <family val="1"/>
      </rPr>
      <t xml:space="preserve">  /  δ</t>
    </r>
    <r>
      <rPr>
        <b/>
        <i/>
        <vertAlign val="subscript"/>
        <sz val="9"/>
        <rFont val="Times New Roman"/>
        <family val="1"/>
      </rPr>
      <t>Allow</t>
    </r>
    <phoneticPr fontId="2" type="noConversion"/>
  </si>
  <si>
    <r>
      <t>Z</t>
    </r>
    <r>
      <rPr>
        <b/>
        <i/>
        <vertAlign val="subscript"/>
        <sz val="9"/>
        <rFont val="Times New Roman"/>
        <family val="1"/>
      </rPr>
      <t>X</t>
    </r>
    <phoneticPr fontId="38" type="noConversion"/>
  </si>
  <si>
    <r>
      <t>I</t>
    </r>
    <r>
      <rPr>
        <b/>
        <i/>
        <vertAlign val="subscript"/>
        <sz val="9"/>
        <rFont val="Times New Roman"/>
        <family val="1"/>
      </rPr>
      <t>X</t>
    </r>
    <phoneticPr fontId="38" type="noConversion"/>
  </si>
  <si>
    <r>
      <t>I</t>
    </r>
    <r>
      <rPr>
        <b/>
        <i/>
        <vertAlign val="subscript"/>
        <sz val="9"/>
        <rFont val="Times New Roman"/>
        <family val="1"/>
      </rPr>
      <t>Y</t>
    </r>
    <phoneticPr fontId="38" type="noConversion"/>
  </si>
  <si>
    <r>
      <t>Z</t>
    </r>
    <r>
      <rPr>
        <b/>
        <i/>
        <vertAlign val="subscript"/>
        <sz val="9"/>
        <rFont val="Times New Roman"/>
        <family val="1"/>
      </rPr>
      <t>X</t>
    </r>
    <phoneticPr fontId="2" type="noConversion"/>
  </si>
  <si>
    <r>
      <t>e</t>
    </r>
    <r>
      <rPr>
        <b/>
        <i/>
        <vertAlign val="subscript"/>
        <sz val="9"/>
        <rFont val="Times New Roman"/>
        <family val="1"/>
      </rPr>
      <t>1</t>
    </r>
    <phoneticPr fontId="2" type="noConversion"/>
  </si>
  <si>
    <r>
      <t>e</t>
    </r>
    <r>
      <rPr>
        <b/>
        <i/>
        <vertAlign val="subscript"/>
        <sz val="9"/>
        <rFont val="Times New Roman"/>
        <family val="1"/>
      </rPr>
      <t>2</t>
    </r>
    <phoneticPr fontId="2" type="noConversion"/>
  </si>
  <si>
    <t>-. CHECK FOR VERTICAL STEEL T-BAR</t>
    <phoneticPr fontId="2" type="noConversion"/>
  </si>
  <si>
    <r>
      <t>L</t>
    </r>
    <r>
      <rPr>
        <b/>
        <i/>
        <vertAlign val="subscript"/>
        <sz val="9"/>
        <rFont val="Times New Roman"/>
        <family val="1"/>
      </rPr>
      <t>b</t>
    </r>
    <r>
      <rPr>
        <b/>
        <i/>
        <sz val="9"/>
        <rFont val="Times New Roman"/>
        <family val="1"/>
      </rPr>
      <t/>
    </r>
    <phoneticPr fontId="2" type="noConversion"/>
  </si>
  <si>
    <r>
      <t>A</t>
    </r>
    <r>
      <rPr>
        <b/>
        <i/>
        <vertAlign val="subscript"/>
        <sz val="9"/>
        <rFont val="Times New Roman"/>
        <family val="1"/>
      </rPr>
      <t>f</t>
    </r>
    <phoneticPr fontId="2" type="noConversion"/>
  </si>
  <si>
    <r>
      <rPr>
        <b/>
        <sz val="9"/>
        <rFont val="Times New Roman"/>
        <family val="1"/>
      </rPr>
      <t>(</t>
    </r>
    <r>
      <rPr>
        <b/>
        <i/>
        <sz val="9"/>
        <rFont val="Times New Roman"/>
        <family val="1"/>
      </rPr>
      <t xml:space="preserve"> H - t</t>
    </r>
    <r>
      <rPr>
        <b/>
        <i/>
        <vertAlign val="subscript"/>
        <sz val="9"/>
        <rFont val="Times New Roman"/>
        <family val="1"/>
      </rPr>
      <t>2</t>
    </r>
    <r>
      <rPr>
        <b/>
        <i/>
        <sz val="9"/>
        <rFont val="Times New Roman"/>
        <family val="1"/>
      </rPr>
      <t xml:space="preserve"> </t>
    </r>
    <r>
      <rPr>
        <b/>
        <sz val="9"/>
        <rFont val="Times New Roman"/>
        <family val="1"/>
      </rPr>
      <t>)</t>
    </r>
    <r>
      <rPr>
        <b/>
        <i/>
        <sz val="9"/>
        <rFont val="Times New Roman"/>
        <family val="1"/>
      </rPr>
      <t xml:space="preserve">  /  t</t>
    </r>
    <r>
      <rPr>
        <b/>
        <i/>
        <vertAlign val="subscript"/>
        <sz val="9"/>
        <rFont val="Times New Roman"/>
        <family val="1"/>
      </rPr>
      <t>1</t>
    </r>
    <phoneticPr fontId="2" type="noConversion"/>
  </si>
  <si>
    <r>
      <rPr>
        <b/>
        <sz val="9"/>
        <rFont val="Times New Roman"/>
        <family val="1"/>
      </rPr>
      <t>(</t>
    </r>
    <r>
      <rPr>
        <b/>
        <i/>
        <sz val="9"/>
        <rFont val="Times New Roman"/>
        <family val="1"/>
      </rPr>
      <t xml:space="preserve"> b / 2 </t>
    </r>
    <r>
      <rPr>
        <b/>
        <sz val="9"/>
        <rFont val="Times New Roman"/>
        <family val="1"/>
      </rPr>
      <t>)</t>
    </r>
    <r>
      <rPr>
        <b/>
        <i/>
        <sz val="9"/>
        <rFont val="Times New Roman"/>
        <family val="1"/>
      </rPr>
      <t xml:space="preserve">  /  t</t>
    </r>
    <r>
      <rPr>
        <b/>
        <i/>
        <vertAlign val="subscript"/>
        <sz val="9"/>
        <rFont val="Times New Roman"/>
        <family val="1"/>
      </rPr>
      <t>2</t>
    </r>
    <phoneticPr fontId="2" type="noConversion"/>
  </si>
  <si>
    <r>
      <t xml:space="preserve">MIN </t>
    </r>
    <r>
      <rPr>
        <b/>
        <sz val="9"/>
        <rFont val="Times New Roman"/>
        <family val="1"/>
      </rPr>
      <t>(</t>
    </r>
    <r>
      <rPr>
        <b/>
        <i/>
        <sz val="9"/>
        <rFont val="Times New Roman"/>
        <family val="1"/>
      </rPr>
      <t xml:space="preserve"> F</t>
    </r>
    <r>
      <rPr>
        <b/>
        <i/>
        <vertAlign val="subscript"/>
        <sz val="9"/>
        <rFont val="Times New Roman"/>
        <family val="1"/>
      </rPr>
      <t>b1</t>
    </r>
    <r>
      <rPr>
        <b/>
        <i/>
        <sz val="9"/>
        <rFont val="Times New Roman"/>
        <family val="1"/>
      </rPr>
      <t xml:space="preserve"> , F</t>
    </r>
    <r>
      <rPr>
        <b/>
        <i/>
        <vertAlign val="subscript"/>
        <sz val="9"/>
        <rFont val="Times New Roman"/>
        <family val="1"/>
      </rPr>
      <t>b2</t>
    </r>
    <r>
      <rPr>
        <b/>
        <i/>
        <sz val="9"/>
        <rFont val="Times New Roman"/>
        <family val="1"/>
      </rPr>
      <t xml:space="preserve"> </t>
    </r>
    <r>
      <rPr>
        <b/>
        <sz val="9"/>
        <rFont val="Times New Roman"/>
        <family val="1"/>
      </rPr>
      <t>)</t>
    </r>
    <phoneticPr fontId="2" type="noConversion"/>
  </si>
  <si>
    <r>
      <t>R</t>
    </r>
    <r>
      <rPr>
        <b/>
        <i/>
        <vertAlign val="subscript"/>
        <sz val="9"/>
        <rFont val="Times New Roman"/>
        <family val="1"/>
      </rPr>
      <t>C</t>
    </r>
    <phoneticPr fontId="2" type="noConversion"/>
  </si>
  <si>
    <r>
      <t>w</t>
    </r>
    <r>
      <rPr>
        <b/>
        <i/>
        <vertAlign val="subscript"/>
        <sz val="9"/>
        <rFont val="Times New Roman"/>
        <family val="1"/>
      </rPr>
      <t>1</t>
    </r>
    <r>
      <rPr>
        <b/>
        <i/>
        <sz val="9"/>
        <rFont val="Times New Roman"/>
        <family val="1"/>
      </rPr>
      <t xml:space="preserve"> L</t>
    </r>
    <r>
      <rPr>
        <b/>
        <i/>
        <vertAlign val="subscript"/>
        <sz val="9"/>
        <rFont val="Times New Roman"/>
        <family val="1"/>
      </rPr>
      <t>1</t>
    </r>
    <r>
      <rPr>
        <b/>
        <i/>
        <sz val="9"/>
        <rFont val="Times New Roman"/>
        <family val="1"/>
      </rPr>
      <t xml:space="preserve"> + w</t>
    </r>
    <r>
      <rPr>
        <b/>
        <i/>
        <vertAlign val="subscript"/>
        <sz val="9"/>
        <rFont val="Times New Roman"/>
        <family val="1"/>
      </rPr>
      <t>2</t>
    </r>
    <r>
      <rPr>
        <b/>
        <i/>
        <sz val="9"/>
        <rFont val="Times New Roman"/>
        <family val="1"/>
      </rPr>
      <t xml:space="preserve"> L</t>
    </r>
    <r>
      <rPr>
        <b/>
        <i/>
        <vertAlign val="subscript"/>
        <sz val="9"/>
        <rFont val="Times New Roman"/>
        <family val="1"/>
      </rPr>
      <t>2</t>
    </r>
    <r>
      <rPr>
        <b/>
        <vertAlign val="superscript"/>
        <sz val="12"/>
        <rFont val="한컴바탕"/>
        <family val="1"/>
        <charset val="129"/>
      </rPr>
      <t/>
    </r>
    <phoneticPr fontId="2" type="noConversion"/>
  </si>
  <si>
    <r>
      <rPr>
        <b/>
        <sz val="9"/>
        <rFont val="Times New Roman"/>
        <family val="1"/>
      </rPr>
      <t>(</t>
    </r>
    <r>
      <rPr>
        <b/>
        <i/>
        <sz val="9"/>
        <rFont val="Times New Roman"/>
        <family val="1"/>
      </rPr>
      <t xml:space="preserve"> I</t>
    </r>
    <r>
      <rPr>
        <b/>
        <i/>
        <vertAlign val="subscript"/>
        <sz val="9"/>
        <rFont val="Times New Roman"/>
        <family val="1"/>
      </rPr>
      <t>2</t>
    </r>
    <r>
      <rPr>
        <b/>
        <i/>
        <sz val="9"/>
        <rFont val="Times New Roman"/>
        <family val="1"/>
      </rPr>
      <t xml:space="preserve"> L</t>
    </r>
    <r>
      <rPr>
        <b/>
        <i/>
        <vertAlign val="subscript"/>
        <sz val="9"/>
        <rFont val="Times New Roman"/>
        <family val="1"/>
      </rPr>
      <t xml:space="preserve">1 </t>
    </r>
    <r>
      <rPr>
        <b/>
        <sz val="9"/>
        <rFont val="Times New Roman"/>
        <family val="1"/>
      </rPr>
      <t>)</t>
    </r>
    <r>
      <rPr>
        <b/>
        <i/>
        <sz val="9"/>
        <rFont val="Times New Roman"/>
        <family val="1"/>
      </rPr>
      <t xml:space="preserve"> / </t>
    </r>
    <r>
      <rPr>
        <b/>
        <sz val="9"/>
        <rFont val="Times New Roman"/>
        <family val="1"/>
      </rPr>
      <t>(</t>
    </r>
    <r>
      <rPr>
        <b/>
        <i/>
        <sz val="9"/>
        <rFont val="Times New Roman"/>
        <family val="1"/>
      </rPr>
      <t xml:space="preserve"> I</t>
    </r>
    <r>
      <rPr>
        <b/>
        <i/>
        <vertAlign val="subscript"/>
        <sz val="9"/>
        <rFont val="Times New Roman"/>
        <family val="1"/>
      </rPr>
      <t>1</t>
    </r>
    <r>
      <rPr>
        <b/>
        <i/>
        <sz val="9"/>
        <rFont val="Times New Roman"/>
        <family val="1"/>
      </rPr>
      <t xml:space="preserve"> L</t>
    </r>
    <r>
      <rPr>
        <b/>
        <i/>
        <vertAlign val="subscript"/>
        <sz val="9"/>
        <rFont val="Times New Roman"/>
        <family val="1"/>
      </rPr>
      <t xml:space="preserve">2 </t>
    </r>
    <r>
      <rPr>
        <b/>
        <sz val="9"/>
        <rFont val="Times New Roman"/>
        <family val="1"/>
      </rPr>
      <t>)</t>
    </r>
    <phoneticPr fontId="2" type="noConversion"/>
  </si>
  <si>
    <r>
      <rPr>
        <b/>
        <sz val="9"/>
        <rFont val="Times New Roman"/>
        <family val="1"/>
      </rPr>
      <t>(</t>
    </r>
    <r>
      <rPr>
        <b/>
        <i/>
        <sz val="9"/>
        <rFont val="Times New Roman"/>
        <family val="1"/>
      </rPr>
      <t xml:space="preserve"> w</t>
    </r>
    <r>
      <rPr>
        <b/>
        <i/>
        <vertAlign val="subscript"/>
        <sz val="9"/>
        <rFont val="Times New Roman"/>
        <family val="1"/>
      </rPr>
      <t>1</t>
    </r>
    <r>
      <rPr>
        <b/>
        <i/>
        <sz val="9"/>
        <rFont val="Times New Roman"/>
        <family val="1"/>
      </rPr>
      <t xml:space="preserve"> L</t>
    </r>
    <r>
      <rPr>
        <b/>
        <i/>
        <vertAlign val="subscript"/>
        <sz val="9"/>
        <rFont val="Times New Roman"/>
        <family val="1"/>
      </rPr>
      <t xml:space="preserve">1 </t>
    </r>
    <r>
      <rPr>
        <b/>
        <sz val="9"/>
        <rFont val="Times New Roman"/>
        <family val="1"/>
      </rPr>
      <t>)</t>
    </r>
    <r>
      <rPr>
        <b/>
        <i/>
        <sz val="9"/>
        <rFont val="Times New Roman"/>
        <family val="1"/>
      </rPr>
      <t xml:space="preserve"> / 2 - </t>
    </r>
    <r>
      <rPr>
        <b/>
        <sz val="9"/>
        <rFont val="Times New Roman"/>
        <family val="1"/>
      </rPr>
      <t>(</t>
    </r>
    <r>
      <rPr>
        <b/>
        <i/>
        <sz val="9"/>
        <rFont val="Times New Roman"/>
        <family val="1"/>
      </rPr>
      <t xml:space="preserve"> α w</t>
    </r>
    <r>
      <rPr>
        <b/>
        <i/>
        <vertAlign val="subscript"/>
        <sz val="9"/>
        <rFont val="Times New Roman"/>
        <family val="1"/>
      </rPr>
      <t>1</t>
    </r>
    <r>
      <rPr>
        <b/>
        <i/>
        <sz val="9"/>
        <rFont val="Times New Roman"/>
        <family val="1"/>
      </rPr>
      <t xml:space="preserve"> L</t>
    </r>
    <r>
      <rPr>
        <b/>
        <i/>
        <vertAlign val="subscript"/>
        <sz val="9"/>
        <rFont val="Times New Roman"/>
        <family val="1"/>
      </rPr>
      <t>1</t>
    </r>
    <r>
      <rPr>
        <b/>
        <i/>
        <vertAlign val="superscript"/>
        <sz val="9"/>
        <rFont val="Times New Roman"/>
        <family val="1"/>
      </rPr>
      <t>2</t>
    </r>
    <r>
      <rPr>
        <b/>
        <i/>
        <sz val="9"/>
        <rFont val="Times New Roman"/>
        <family val="1"/>
      </rPr>
      <t xml:space="preserve"> + w</t>
    </r>
    <r>
      <rPr>
        <b/>
        <i/>
        <vertAlign val="subscript"/>
        <sz val="9"/>
        <rFont val="Times New Roman"/>
        <family val="1"/>
      </rPr>
      <t>2</t>
    </r>
    <r>
      <rPr>
        <b/>
        <i/>
        <sz val="9"/>
        <rFont val="Times New Roman"/>
        <family val="1"/>
      </rPr>
      <t xml:space="preserve"> L</t>
    </r>
    <r>
      <rPr>
        <b/>
        <i/>
        <vertAlign val="subscript"/>
        <sz val="9"/>
        <rFont val="Times New Roman"/>
        <family val="1"/>
      </rPr>
      <t>2</t>
    </r>
    <r>
      <rPr>
        <b/>
        <i/>
        <vertAlign val="superscript"/>
        <sz val="9"/>
        <rFont val="Times New Roman"/>
        <family val="1"/>
      </rPr>
      <t xml:space="preserve">2 </t>
    </r>
    <r>
      <rPr>
        <b/>
        <sz val="9"/>
        <rFont val="Times New Roman"/>
        <family val="1"/>
      </rPr>
      <t>)</t>
    </r>
    <r>
      <rPr>
        <b/>
        <i/>
        <sz val="9"/>
        <rFont val="Times New Roman"/>
        <family val="1"/>
      </rPr>
      <t xml:space="preserve"> / </t>
    </r>
    <r>
      <rPr>
        <b/>
        <sz val="9"/>
        <rFont val="Times New Roman"/>
        <family val="1"/>
      </rPr>
      <t>(</t>
    </r>
    <r>
      <rPr>
        <b/>
        <i/>
        <sz val="9"/>
        <rFont val="Times New Roman"/>
        <family val="1"/>
      </rPr>
      <t xml:space="preserve"> 8 </t>
    </r>
    <r>
      <rPr>
        <b/>
        <sz val="9"/>
        <rFont val="Times New Roman"/>
        <family val="1"/>
      </rPr>
      <t>(</t>
    </r>
    <r>
      <rPr>
        <b/>
        <i/>
        <sz val="9"/>
        <rFont val="Times New Roman"/>
        <family val="1"/>
      </rPr>
      <t xml:space="preserve"> 1 + α </t>
    </r>
    <r>
      <rPr>
        <b/>
        <sz val="9"/>
        <rFont val="Times New Roman"/>
        <family val="1"/>
      </rPr>
      <t>)</t>
    </r>
    <r>
      <rPr>
        <b/>
        <i/>
        <sz val="9"/>
        <rFont val="Times New Roman"/>
        <family val="1"/>
      </rPr>
      <t xml:space="preserve"> L</t>
    </r>
    <r>
      <rPr>
        <b/>
        <i/>
        <vertAlign val="subscript"/>
        <sz val="9"/>
        <rFont val="Times New Roman"/>
        <family val="1"/>
      </rPr>
      <t xml:space="preserve">1 </t>
    </r>
    <r>
      <rPr>
        <b/>
        <sz val="9"/>
        <rFont val="Times New Roman"/>
        <family val="1"/>
      </rPr>
      <t>)</t>
    </r>
    <phoneticPr fontId="2" type="noConversion"/>
  </si>
  <si>
    <r>
      <rPr>
        <b/>
        <sz val="9"/>
        <rFont val="Times New Roman"/>
        <family val="1"/>
      </rPr>
      <t>(</t>
    </r>
    <r>
      <rPr>
        <b/>
        <i/>
        <sz val="9"/>
        <rFont val="Times New Roman"/>
        <family val="1"/>
      </rPr>
      <t xml:space="preserve"> w</t>
    </r>
    <r>
      <rPr>
        <b/>
        <i/>
        <vertAlign val="subscript"/>
        <sz val="9"/>
        <rFont val="Times New Roman"/>
        <family val="1"/>
      </rPr>
      <t>2</t>
    </r>
    <r>
      <rPr>
        <b/>
        <i/>
        <sz val="9"/>
        <rFont val="Times New Roman"/>
        <family val="1"/>
      </rPr>
      <t xml:space="preserve"> L</t>
    </r>
    <r>
      <rPr>
        <b/>
        <i/>
        <vertAlign val="subscript"/>
        <sz val="9"/>
        <rFont val="Times New Roman"/>
        <family val="1"/>
      </rPr>
      <t xml:space="preserve">1 </t>
    </r>
    <r>
      <rPr>
        <b/>
        <sz val="9"/>
        <rFont val="Times New Roman"/>
        <family val="1"/>
      </rPr>
      <t>)</t>
    </r>
    <r>
      <rPr>
        <b/>
        <i/>
        <sz val="9"/>
        <rFont val="Times New Roman"/>
        <family val="1"/>
      </rPr>
      <t xml:space="preserve"> / 2 - </t>
    </r>
    <r>
      <rPr>
        <b/>
        <sz val="9"/>
        <rFont val="Times New Roman"/>
        <family val="1"/>
      </rPr>
      <t>(</t>
    </r>
    <r>
      <rPr>
        <b/>
        <i/>
        <sz val="9"/>
        <rFont val="Times New Roman"/>
        <family val="1"/>
      </rPr>
      <t xml:space="preserve"> α w</t>
    </r>
    <r>
      <rPr>
        <b/>
        <i/>
        <vertAlign val="subscript"/>
        <sz val="9"/>
        <rFont val="Times New Roman"/>
        <family val="1"/>
      </rPr>
      <t>1</t>
    </r>
    <r>
      <rPr>
        <b/>
        <i/>
        <sz val="9"/>
        <rFont val="Times New Roman"/>
        <family val="1"/>
      </rPr>
      <t xml:space="preserve"> L</t>
    </r>
    <r>
      <rPr>
        <b/>
        <i/>
        <vertAlign val="subscript"/>
        <sz val="9"/>
        <rFont val="Times New Roman"/>
        <family val="1"/>
      </rPr>
      <t>1</t>
    </r>
    <r>
      <rPr>
        <b/>
        <i/>
        <vertAlign val="superscript"/>
        <sz val="9"/>
        <rFont val="Times New Roman"/>
        <family val="1"/>
      </rPr>
      <t>2</t>
    </r>
    <r>
      <rPr>
        <b/>
        <i/>
        <sz val="9"/>
        <rFont val="Times New Roman"/>
        <family val="1"/>
      </rPr>
      <t xml:space="preserve"> + w</t>
    </r>
    <r>
      <rPr>
        <b/>
        <i/>
        <vertAlign val="subscript"/>
        <sz val="9"/>
        <rFont val="Times New Roman"/>
        <family val="1"/>
      </rPr>
      <t>2</t>
    </r>
    <r>
      <rPr>
        <b/>
        <i/>
        <sz val="9"/>
        <rFont val="Times New Roman"/>
        <family val="1"/>
      </rPr>
      <t xml:space="preserve"> L</t>
    </r>
    <r>
      <rPr>
        <b/>
        <i/>
        <vertAlign val="subscript"/>
        <sz val="9"/>
        <rFont val="Times New Roman"/>
        <family val="1"/>
      </rPr>
      <t>2</t>
    </r>
    <r>
      <rPr>
        <b/>
        <i/>
        <vertAlign val="superscript"/>
        <sz val="9"/>
        <rFont val="Times New Roman"/>
        <family val="1"/>
      </rPr>
      <t xml:space="preserve">2 </t>
    </r>
    <r>
      <rPr>
        <b/>
        <sz val="9"/>
        <rFont val="Times New Roman"/>
        <family val="1"/>
      </rPr>
      <t>)</t>
    </r>
    <r>
      <rPr>
        <b/>
        <i/>
        <sz val="9"/>
        <rFont val="Times New Roman"/>
        <family val="1"/>
      </rPr>
      <t xml:space="preserve"> / </t>
    </r>
    <r>
      <rPr>
        <b/>
        <sz val="9"/>
        <rFont val="Times New Roman"/>
        <family val="1"/>
      </rPr>
      <t>(</t>
    </r>
    <r>
      <rPr>
        <b/>
        <i/>
        <sz val="9"/>
        <rFont val="Times New Roman"/>
        <family val="1"/>
      </rPr>
      <t xml:space="preserve"> 8 </t>
    </r>
    <r>
      <rPr>
        <b/>
        <sz val="9"/>
        <rFont val="Times New Roman"/>
        <family val="1"/>
      </rPr>
      <t>(</t>
    </r>
    <r>
      <rPr>
        <b/>
        <i/>
        <sz val="9"/>
        <rFont val="Times New Roman"/>
        <family val="1"/>
      </rPr>
      <t xml:space="preserve"> 1 + α </t>
    </r>
    <r>
      <rPr>
        <b/>
        <sz val="9"/>
        <rFont val="Times New Roman"/>
        <family val="1"/>
      </rPr>
      <t>)</t>
    </r>
    <r>
      <rPr>
        <b/>
        <i/>
        <sz val="9"/>
        <rFont val="Times New Roman"/>
        <family val="1"/>
      </rPr>
      <t xml:space="preserve"> L</t>
    </r>
    <r>
      <rPr>
        <b/>
        <i/>
        <vertAlign val="subscript"/>
        <sz val="9"/>
        <rFont val="Times New Roman"/>
        <family val="1"/>
      </rPr>
      <t xml:space="preserve">2 </t>
    </r>
    <r>
      <rPr>
        <b/>
        <sz val="9"/>
        <rFont val="Times New Roman"/>
        <family val="1"/>
      </rPr>
      <t>)</t>
    </r>
    <phoneticPr fontId="2" type="noConversion"/>
  </si>
  <si>
    <r>
      <rPr>
        <b/>
        <sz val="9"/>
        <rFont val="Times New Roman"/>
        <family val="1"/>
      </rPr>
      <t>(</t>
    </r>
    <r>
      <rPr>
        <b/>
        <i/>
        <sz val="9"/>
        <rFont val="Times New Roman"/>
        <family val="1"/>
      </rPr>
      <t xml:space="preserve"> α w</t>
    </r>
    <r>
      <rPr>
        <b/>
        <i/>
        <vertAlign val="subscript"/>
        <sz val="9"/>
        <rFont val="Times New Roman"/>
        <family val="1"/>
      </rPr>
      <t xml:space="preserve">1 </t>
    </r>
    <r>
      <rPr>
        <b/>
        <i/>
        <sz val="9"/>
        <rFont val="Times New Roman"/>
        <family val="1"/>
      </rPr>
      <t>L</t>
    </r>
    <r>
      <rPr>
        <b/>
        <i/>
        <vertAlign val="subscript"/>
        <sz val="9"/>
        <rFont val="Times New Roman"/>
        <family val="1"/>
      </rPr>
      <t>1</t>
    </r>
    <r>
      <rPr>
        <b/>
        <i/>
        <vertAlign val="superscript"/>
        <sz val="9"/>
        <rFont val="Times New Roman"/>
        <family val="1"/>
      </rPr>
      <t>2</t>
    </r>
    <r>
      <rPr>
        <b/>
        <i/>
        <sz val="9"/>
        <rFont val="Times New Roman"/>
        <family val="1"/>
      </rPr>
      <t xml:space="preserve"> + w</t>
    </r>
    <r>
      <rPr>
        <b/>
        <i/>
        <vertAlign val="subscript"/>
        <sz val="9"/>
        <rFont val="Times New Roman"/>
        <family val="1"/>
      </rPr>
      <t>2</t>
    </r>
    <r>
      <rPr>
        <b/>
        <i/>
        <sz val="9"/>
        <rFont val="Times New Roman"/>
        <family val="1"/>
      </rPr>
      <t xml:space="preserve"> L</t>
    </r>
    <r>
      <rPr>
        <b/>
        <i/>
        <vertAlign val="subscript"/>
        <sz val="9"/>
        <rFont val="Times New Roman"/>
        <family val="1"/>
      </rPr>
      <t>2</t>
    </r>
    <r>
      <rPr>
        <b/>
        <i/>
        <vertAlign val="superscript"/>
        <sz val="9"/>
        <rFont val="Times New Roman"/>
        <family val="1"/>
      </rPr>
      <t xml:space="preserve">2 </t>
    </r>
    <r>
      <rPr>
        <b/>
        <sz val="9"/>
        <rFont val="Times New Roman"/>
        <family val="1"/>
      </rPr>
      <t>)</t>
    </r>
    <r>
      <rPr>
        <b/>
        <i/>
        <sz val="9"/>
        <rFont val="Times New Roman"/>
        <family val="1"/>
      </rPr>
      <t xml:space="preserve"> / </t>
    </r>
    <r>
      <rPr>
        <b/>
        <sz val="9"/>
        <rFont val="Times New Roman"/>
        <family val="1"/>
      </rPr>
      <t>(</t>
    </r>
    <r>
      <rPr>
        <b/>
        <i/>
        <sz val="9"/>
        <rFont val="Times New Roman"/>
        <family val="1"/>
      </rPr>
      <t xml:space="preserve"> 8 </t>
    </r>
    <r>
      <rPr>
        <b/>
        <sz val="9"/>
        <rFont val="Times New Roman"/>
        <family val="1"/>
      </rPr>
      <t>(</t>
    </r>
    <r>
      <rPr>
        <b/>
        <i/>
        <sz val="9"/>
        <rFont val="Times New Roman"/>
        <family val="1"/>
      </rPr>
      <t xml:space="preserve"> 1 + α </t>
    </r>
    <r>
      <rPr>
        <b/>
        <sz val="9"/>
        <rFont val="Times New Roman"/>
        <family val="1"/>
      </rPr>
      <t>) )</t>
    </r>
    <phoneticPr fontId="2" type="noConversion"/>
  </si>
  <si>
    <r>
      <t>L</t>
    </r>
    <r>
      <rPr>
        <b/>
        <i/>
        <vertAlign val="subscript"/>
        <sz val="9"/>
        <rFont val="Times New Roman"/>
        <family val="1"/>
      </rPr>
      <t>1</t>
    </r>
    <phoneticPr fontId="2" type="noConversion"/>
  </si>
  <si>
    <r>
      <t>L</t>
    </r>
    <r>
      <rPr>
        <b/>
        <i/>
        <vertAlign val="subscript"/>
        <sz val="9"/>
        <rFont val="Times New Roman"/>
        <family val="1"/>
      </rPr>
      <t>2</t>
    </r>
    <phoneticPr fontId="2" type="noConversion"/>
  </si>
  <si>
    <r>
      <t xml:space="preserve">P - </t>
    </r>
    <r>
      <rPr>
        <b/>
        <sz val="9"/>
        <rFont val="Times New Roman"/>
        <family val="1"/>
      </rPr>
      <t>(</t>
    </r>
    <r>
      <rPr>
        <b/>
        <i/>
        <sz val="9"/>
        <rFont val="Times New Roman"/>
        <family val="1"/>
      </rPr>
      <t xml:space="preserve"> R</t>
    </r>
    <r>
      <rPr>
        <b/>
        <i/>
        <vertAlign val="subscript"/>
        <sz val="9"/>
        <rFont val="Times New Roman"/>
        <family val="1"/>
      </rPr>
      <t>A</t>
    </r>
    <r>
      <rPr>
        <b/>
        <i/>
        <sz val="9"/>
        <rFont val="Times New Roman"/>
        <family val="1"/>
      </rPr>
      <t xml:space="preserve"> + R</t>
    </r>
    <r>
      <rPr>
        <b/>
        <i/>
        <vertAlign val="subscript"/>
        <sz val="9"/>
        <rFont val="Times New Roman"/>
        <family val="1"/>
      </rPr>
      <t xml:space="preserve">B </t>
    </r>
    <r>
      <rPr>
        <b/>
        <sz val="9"/>
        <rFont val="Times New Roman"/>
        <family val="1"/>
      </rPr>
      <t>)</t>
    </r>
    <phoneticPr fontId="2" type="noConversion"/>
  </si>
  <si>
    <r>
      <rPr>
        <b/>
        <sz val="9"/>
        <rFont val="Times New Roman"/>
        <family val="1"/>
      </rPr>
      <t>(</t>
    </r>
    <r>
      <rPr>
        <b/>
        <i/>
        <sz val="9"/>
        <rFont val="Times New Roman"/>
        <family val="1"/>
      </rPr>
      <t xml:space="preserve"> 5 w</t>
    </r>
    <r>
      <rPr>
        <b/>
        <i/>
        <vertAlign val="subscript"/>
        <sz val="9"/>
        <rFont val="Times New Roman"/>
        <family val="1"/>
      </rPr>
      <t xml:space="preserve">2 </t>
    </r>
    <r>
      <rPr>
        <b/>
        <i/>
        <sz val="9"/>
        <rFont val="Times New Roman"/>
        <family val="1"/>
      </rPr>
      <t>L</t>
    </r>
    <r>
      <rPr>
        <b/>
        <i/>
        <vertAlign val="subscript"/>
        <sz val="9"/>
        <rFont val="Times New Roman"/>
        <family val="1"/>
      </rPr>
      <t>2</t>
    </r>
    <r>
      <rPr>
        <b/>
        <i/>
        <vertAlign val="superscript"/>
        <sz val="9"/>
        <rFont val="Times New Roman"/>
        <family val="1"/>
      </rPr>
      <t>4</t>
    </r>
    <r>
      <rPr>
        <b/>
        <i/>
        <sz val="9"/>
        <rFont val="Times New Roman"/>
        <family val="1"/>
      </rPr>
      <t xml:space="preserve"> / 384 EI</t>
    </r>
    <r>
      <rPr>
        <b/>
        <i/>
        <vertAlign val="subscript"/>
        <sz val="9"/>
        <rFont val="Times New Roman"/>
        <family val="1"/>
      </rPr>
      <t xml:space="preserve">2 </t>
    </r>
    <r>
      <rPr>
        <b/>
        <sz val="9"/>
        <rFont val="Times New Roman"/>
        <family val="1"/>
      </rPr>
      <t>)</t>
    </r>
    <r>
      <rPr>
        <b/>
        <i/>
        <sz val="9"/>
        <rFont val="Times New Roman"/>
        <family val="1"/>
      </rPr>
      <t xml:space="preserve"> - </t>
    </r>
    <r>
      <rPr>
        <b/>
        <sz val="9"/>
        <rFont val="Times New Roman"/>
        <family val="1"/>
      </rPr>
      <t>(</t>
    </r>
    <r>
      <rPr>
        <b/>
        <i/>
        <sz val="9"/>
        <rFont val="Times New Roman"/>
        <family val="1"/>
      </rPr>
      <t xml:space="preserve"> M</t>
    </r>
    <r>
      <rPr>
        <b/>
        <i/>
        <vertAlign val="subscript"/>
        <sz val="9"/>
        <rFont val="Times New Roman"/>
        <family val="1"/>
      </rPr>
      <t xml:space="preserve">B </t>
    </r>
    <r>
      <rPr>
        <b/>
        <i/>
        <sz val="9"/>
        <rFont val="Times New Roman"/>
        <family val="1"/>
      </rPr>
      <t>L</t>
    </r>
    <r>
      <rPr>
        <b/>
        <i/>
        <vertAlign val="subscript"/>
        <sz val="9"/>
        <rFont val="Times New Roman"/>
        <family val="1"/>
      </rPr>
      <t>2</t>
    </r>
    <r>
      <rPr>
        <b/>
        <i/>
        <vertAlign val="superscript"/>
        <sz val="9"/>
        <rFont val="Times New Roman"/>
        <family val="1"/>
      </rPr>
      <t>2</t>
    </r>
    <r>
      <rPr>
        <b/>
        <i/>
        <sz val="9"/>
        <rFont val="Times New Roman"/>
        <family val="1"/>
      </rPr>
      <t xml:space="preserve"> / 16 EI</t>
    </r>
    <r>
      <rPr>
        <b/>
        <i/>
        <vertAlign val="subscript"/>
        <sz val="9"/>
        <rFont val="Times New Roman"/>
        <family val="1"/>
      </rPr>
      <t xml:space="preserve">2 </t>
    </r>
    <r>
      <rPr>
        <b/>
        <sz val="9"/>
        <rFont val="Times New Roman"/>
        <family val="1"/>
      </rPr>
      <t xml:space="preserve">) </t>
    </r>
    <r>
      <rPr>
        <b/>
        <sz val="9"/>
        <rFont val="한컴돋움"/>
        <family val="1"/>
        <charset val="129"/>
      </rPr>
      <t xml:space="preserve">  : </t>
    </r>
    <phoneticPr fontId="2" type="noConversion"/>
  </si>
  <si>
    <t>Lineal  Load</t>
    <phoneticPr fontId="2" type="noConversion"/>
  </si>
  <si>
    <r>
      <rPr>
        <b/>
        <sz val="9"/>
        <rFont val="Times New Roman"/>
        <family val="1"/>
      </rPr>
      <t>(</t>
    </r>
    <r>
      <rPr>
        <b/>
        <i/>
        <sz val="9"/>
        <rFont val="Times New Roman"/>
        <family val="1"/>
      </rPr>
      <t xml:space="preserve"> 5 w</t>
    </r>
    <r>
      <rPr>
        <b/>
        <i/>
        <vertAlign val="subscript"/>
        <sz val="9"/>
        <rFont val="Times New Roman"/>
        <family val="1"/>
      </rPr>
      <t xml:space="preserve">2 </t>
    </r>
    <r>
      <rPr>
        <b/>
        <i/>
        <sz val="9"/>
        <rFont val="Times New Roman"/>
        <family val="1"/>
      </rPr>
      <t>L</t>
    </r>
    <r>
      <rPr>
        <b/>
        <i/>
        <vertAlign val="subscript"/>
        <sz val="9"/>
        <rFont val="Times New Roman"/>
        <family val="1"/>
      </rPr>
      <t>2</t>
    </r>
    <r>
      <rPr>
        <b/>
        <i/>
        <vertAlign val="superscript"/>
        <sz val="9"/>
        <rFont val="Times New Roman"/>
        <family val="1"/>
      </rPr>
      <t>4</t>
    </r>
    <r>
      <rPr>
        <b/>
        <i/>
        <sz val="9"/>
        <rFont val="Times New Roman"/>
        <family val="1"/>
      </rPr>
      <t xml:space="preserve"> / 384 EI</t>
    </r>
    <r>
      <rPr>
        <b/>
        <i/>
        <vertAlign val="subscript"/>
        <sz val="9"/>
        <rFont val="Times New Roman"/>
        <family val="1"/>
      </rPr>
      <t xml:space="preserve">2 </t>
    </r>
    <r>
      <rPr>
        <b/>
        <sz val="9"/>
        <rFont val="Times New Roman"/>
        <family val="1"/>
      </rPr>
      <t>)</t>
    </r>
    <r>
      <rPr>
        <b/>
        <i/>
        <sz val="9"/>
        <rFont val="Times New Roman"/>
        <family val="1"/>
      </rPr>
      <t xml:space="preserve"> - </t>
    </r>
    <r>
      <rPr>
        <b/>
        <sz val="9"/>
        <rFont val="Times New Roman"/>
        <family val="1"/>
      </rPr>
      <t>(</t>
    </r>
    <r>
      <rPr>
        <b/>
        <i/>
        <sz val="9"/>
        <rFont val="Times New Roman"/>
        <family val="1"/>
      </rPr>
      <t xml:space="preserve"> M</t>
    </r>
    <r>
      <rPr>
        <b/>
        <i/>
        <vertAlign val="subscript"/>
        <sz val="9"/>
        <rFont val="Times New Roman"/>
        <family val="1"/>
      </rPr>
      <t xml:space="preserve">B </t>
    </r>
    <r>
      <rPr>
        <b/>
        <i/>
        <sz val="9"/>
        <rFont val="Times New Roman"/>
        <family val="1"/>
      </rPr>
      <t>L</t>
    </r>
    <r>
      <rPr>
        <b/>
        <i/>
        <vertAlign val="subscript"/>
        <sz val="9"/>
        <rFont val="Times New Roman"/>
        <family val="1"/>
      </rPr>
      <t>2</t>
    </r>
    <r>
      <rPr>
        <b/>
        <i/>
        <vertAlign val="superscript"/>
        <sz val="9"/>
        <rFont val="Times New Roman"/>
        <family val="1"/>
      </rPr>
      <t>2</t>
    </r>
    <r>
      <rPr>
        <b/>
        <i/>
        <sz val="9"/>
        <rFont val="Times New Roman"/>
        <family val="1"/>
      </rPr>
      <t xml:space="preserve"> / 16 EI</t>
    </r>
    <r>
      <rPr>
        <b/>
        <i/>
        <vertAlign val="subscript"/>
        <sz val="9"/>
        <rFont val="Times New Roman"/>
        <family val="1"/>
      </rPr>
      <t xml:space="preserve">2 </t>
    </r>
    <r>
      <rPr>
        <b/>
        <sz val="9"/>
        <rFont val="Times New Roman"/>
        <family val="1"/>
      </rPr>
      <t>)</t>
    </r>
    <phoneticPr fontId="2" type="noConversion"/>
  </si>
  <si>
    <t xml:space="preserve">3) FRAME ANALYSIS </t>
    <phoneticPr fontId="3" type="noConversion"/>
  </si>
  <si>
    <r>
      <t>V</t>
    </r>
    <r>
      <rPr>
        <b/>
        <i/>
        <vertAlign val="subscript"/>
        <sz val="9"/>
        <rFont val="Times New Roman"/>
        <family val="1"/>
      </rPr>
      <t>A</t>
    </r>
    <phoneticPr fontId="2" type="noConversion"/>
  </si>
  <si>
    <t>Shear Force</t>
    <phoneticPr fontId="2" type="noConversion"/>
  </si>
  <si>
    <r>
      <t>w L</t>
    </r>
    <r>
      <rPr>
        <b/>
        <i/>
        <vertAlign val="superscript"/>
        <sz val="9"/>
        <rFont val="Times New Roman"/>
        <family val="1"/>
      </rPr>
      <t>2</t>
    </r>
    <r>
      <rPr>
        <b/>
        <i/>
        <sz val="9"/>
        <rFont val="Times New Roman"/>
        <family val="1"/>
      </rPr>
      <t xml:space="preserve"> / 8</t>
    </r>
    <phoneticPr fontId="2" type="noConversion"/>
  </si>
  <si>
    <t>wL / 2</t>
    <phoneticPr fontId="2" type="noConversion"/>
  </si>
  <si>
    <r>
      <t>V</t>
    </r>
    <r>
      <rPr>
        <b/>
        <i/>
        <vertAlign val="subscript"/>
        <sz val="9"/>
        <rFont val="Times New Roman"/>
        <family val="1"/>
      </rPr>
      <t>B</t>
    </r>
    <phoneticPr fontId="2" type="noConversion"/>
  </si>
  <si>
    <r>
      <t>5 w L</t>
    </r>
    <r>
      <rPr>
        <b/>
        <i/>
        <vertAlign val="superscript"/>
        <sz val="9"/>
        <rFont val="Times New Roman"/>
        <family val="1"/>
      </rPr>
      <t>4</t>
    </r>
    <r>
      <rPr>
        <b/>
        <i/>
        <sz val="9"/>
        <rFont val="Times New Roman"/>
        <family val="1"/>
      </rPr>
      <t xml:space="preserve"> / 384 EI</t>
    </r>
    <phoneticPr fontId="2" type="noConversion"/>
  </si>
  <si>
    <t>Module Width</t>
    <phoneticPr fontId="2" type="noConversion"/>
  </si>
  <si>
    <r>
      <t>SPAN</t>
    </r>
    <r>
      <rPr>
        <b/>
        <i/>
        <vertAlign val="subscript"/>
        <sz val="9"/>
        <rFont val="Times New Roman"/>
        <family val="1"/>
      </rPr>
      <t>1</t>
    </r>
    <r>
      <rPr>
        <b/>
        <i/>
        <sz val="9"/>
        <rFont val="Times New Roman"/>
        <family val="1"/>
      </rPr>
      <t xml:space="preserve"> </t>
    </r>
    <r>
      <rPr>
        <b/>
        <sz val="9"/>
        <rFont val="Times New Roman"/>
        <family val="1"/>
      </rPr>
      <t xml:space="preserve">( </t>
    </r>
    <r>
      <rPr>
        <b/>
        <i/>
        <sz val="9"/>
        <rFont val="Times New Roman"/>
        <family val="1"/>
      </rPr>
      <t>L</t>
    </r>
    <r>
      <rPr>
        <b/>
        <i/>
        <vertAlign val="subscript"/>
        <sz val="9"/>
        <rFont val="Times New Roman"/>
        <family val="1"/>
      </rPr>
      <t xml:space="preserve"> </t>
    </r>
    <r>
      <rPr>
        <b/>
        <sz val="9"/>
        <rFont val="Times New Roman"/>
        <family val="1"/>
      </rPr>
      <t>)</t>
    </r>
    <phoneticPr fontId="2" type="noConversion"/>
  </si>
  <si>
    <r>
      <t>SPAN</t>
    </r>
    <r>
      <rPr>
        <b/>
        <i/>
        <vertAlign val="subscript"/>
        <sz val="9"/>
        <rFont val="Times New Roman"/>
        <family val="1"/>
      </rPr>
      <t>2</t>
    </r>
    <r>
      <rPr>
        <b/>
        <i/>
        <sz val="9"/>
        <rFont val="Times New Roman"/>
        <family val="1"/>
      </rPr>
      <t xml:space="preserve"> </t>
    </r>
    <r>
      <rPr>
        <b/>
        <sz val="9"/>
        <rFont val="Times New Roman"/>
        <family val="1"/>
      </rPr>
      <t xml:space="preserve">( </t>
    </r>
    <r>
      <rPr>
        <b/>
        <i/>
        <sz val="9"/>
        <rFont val="Times New Roman"/>
        <family val="1"/>
      </rPr>
      <t>L</t>
    </r>
    <r>
      <rPr>
        <b/>
        <i/>
        <vertAlign val="subscript"/>
        <sz val="9"/>
        <rFont val="Times New Roman"/>
        <family val="1"/>
      </rPr>
      <t xml:space="preserve">b </t>
    </r>
    <r>
      <rPr>
        <b/>
        <sz val="9"/>
        <rFont val="Times New Roman"/>
        <family val="1"/>
      </rPr>
      <t>)</t>
    </r>
    <phoneticPr fontId="2" type="noConversion"/>
  </si>
  <si>
    <r>
      <t>SPAN</t>
    </r>
    <r>
      <rPr>
        <b/>
        <i/>
        <vertAlign val="subscript"/>
        <sz val="9"/>
        <rFont val="Times New Roman"/>
        <family val="1"/>
      </rPr>
      <t>4</t>
    </r>
    <r>
      <rPr>
        <b/>
        <i/>
        <sz val="9"/>
        <rFont val="Times New Roman"/>
        <family val="1"/>
      </rPr>
      <t xml:space="preserve"> </t>
    </r>
    <r>
      <rPr>
        <b/>
        <sz val="9"/>
        <rFont val="Times New Roman"/>
        <family val="1"/>
      </rPr>
      <t xml:space="preserve">( </t>
    </r>
    <r>
      <rPr>
        <b/>
        <i/>
        <sz val="9"/>
        <rFont val="Times New Roman"/>
        <family val="1"/>
      </rPr>
      <t>L</t>
    </r>
    <r>
      <rPr>
        <b/>
        <i/>
        <vertAlign val="subscript"/>
        <sz val="9"/>
        <rFont val="Times New Roman"/>
        <family val="1"/>
      </rPr>
      <t xml:space="preserve">b </t>
    </r>
    <r>
      <rPr>
        <b/>
        <sz val="9"/>
        <rFont val="Times New Roman"/>
        <family val="1"/>
      </rPr>
      <t>)</t>
    </r>
    <phoneticPr fontId="2" type="noConversion"/>
  </si>
  <si>
    <r>
      <rPr>
        <b/>
        <sz val="9"/>
        <rFont val="Times New Roman"/>
        <family val="1"/>
      </rPr>
      <t xml:space="preserve">( </t>
    </r>
    <r>
      <rPr>
        <b/>
        <i/>
        <sz val="9"/>
        <rFont val="Times New Roman"/>
        <family val="1"/>
      </rPr>
      <t>H = Anchor</t>
    </r>
    <r>
      <rPr>
        <b/>
        <i/>
        <vertAlign val="subscript"/>
        <sz val="9"/>
        <rFont val="Times New Roman"/>
        <family val="1"/>
      </rPr>
      <t>1</t>
    </r>
    <r>
      <rPr>
        <b/>
        <i/>
        <sz val="9"/>
        <rFont val="Times New Roman"/>
        <family val="1"/>
      </rPr>
      <t xml:space="preserve"> ~ Anchor</t>
    </r>
    <r>
      <rPr>
        <b/>
        <i/>
        <vertAlign val="subscript"/>
        <sz val="9"/>
        <rFont val="Times New Roman"/>
        <family val="1"/>
      </rPr>
      <t>2</t>
    </r>
    <r>
      <rPr>
        <b/>
        <sz val="9"/>
        <rFont val="Times New Roman"/>
        <family val="1"/>
      </rPr>
      <t xml:space="preserve"> )</t>
    </r>
    <phoneticPr fontId="2" type="noConversion"/>
  </si>
  <si>
    <r>
      <rPr>
        <b/>
        <sz val="9"/>
        <rFont val="Times New Roman"/>
        <family val="1"/>
      </rPr>
      <t xml:space="preserve">( </t>
    </r>
    <r>
      <rPr>
        <b/>
        <i/>
        <sz val="9"/>
        <rFont val="Times New Roman"/>
        <family val="1"/>
      </rPr>
      <t>a = Anchor</t>
    </r>
    <r>
      <rPr>
        <b/>
        <i/>
        <vertAlign val="subscript"/>
        <sz val="9"/>
        <rFont val="Times New Roman"/>
        <family val="1"/>
      </rPr>
      <t>2</t>
    </r>
    <r>
      <rPr>
        <b/>
        <i/>
        <sz val="9"/>
        <rFont val="Times New Roman"/>
        <family val="1"/>
      </rPr>
      <t xml:space="preserve"> ~ E.J</t>
    </r>
    <r>
      <rPr>
        <b/>
        <i/>
        <vertAlign val="subscript"/>
        <sz val="9"/>
        <rFont val="Times New Roman"/>
        <family val="1"/>
      </rPr>
      <t>2</t>
    </r>
    <r>
      <rPr>
        <b/>
        <sz val="9"/>
        <rFont val="Times New Roman"/>
        <family val="1"/>
      </rPr>
      <t xml:space="preserve"> )</t>
    </r>
    <phoneticPr fontId="2" type="noConversion"/>
  </si>
  <si>
    <r>
      <rPr>
        <b/>
        <sz val="9"/>
        <rFont val="Times New Roman"/>
        <family val="1"/>
      </rPr>
      <t xml:space="preserve">( </t>
    </r>
    <r>
      <rPr>
        <b/>
        <i/>
        <sz val="9"/>
        <rFont val="Times New Roman"/>
        <family val="1"/>
      </rPr>
      <t>L = E.J</t>
    </r>
    <r>
      <rPr>
        <b/>
        <i/>
        <vertAlign val="subscript"/>
        <sz val="9"/>
        <rFont val="Times New Roman"/>
        <family val="1"/>
      </rPr>
      <t>1</t>
    </r>
    <r>
      <rPr>
        <b/>
        <i/>
        <sz val="9"/>
        <rFont val="Times New Roman"/>
        <family val="1"/>
      </rPr>
      <t>~ Anchor</t>
    </r>
    <r>
      <rPr>
        <b/>
        <i/>
        <vertAlign val="subscript"/>
        <sz val="9"/>
        <rFont val="Times New Roman"/>
        <family val="1"/>
      </rPr>
      <t>2</t>
    </r>
    <r>
      <rPr>
        <b/>
        <sz val="9"/>
        <rFont val="Times New Roman"/>
        <family val="1"/>
      </rPr>
      <t xml:space="preserve"> )</t>
    </r>
    <phoneticPr fontId="2" type="noConversion"/>
  </si>
  <si>
    <r>
      <t>Span</t>
    </r>
    <r>
      <rPr>
        <b/>
        <i/>
        <vertAlign val="subscript"/>
        <sz val="9"/>
        <rFont val="Times New Roman"/>
        <family val="1"/>
      </rPr>
      <t>3</t>
    </r>
    <r>
      <rPr>
        <b/>
        <i/>
        <sz val="9"/>
        <rFont val="Times New Roman"/>
        <family val="1"/>
      </rPr>
      <t xml:space="preserve"> </t>
    </r>
    <r>
      <rPr>
        <b/>
        <sz val="9"/>
        <rFont val="Times New Roman"/>
        <family val="1"/>
      </rPr>
      <t xml:space="preserve">( </t>
    </r>
    <r>
      <rPr>
        <b/>
        <i/>
        <sz val="9"/>
        <rFont val="Times New Roman"/>
        <family val="1"/>
      </rPr>
      <t>E.J</t>
    </r>
    <r>
      <rPr>
        <b/>
        <i/>
        <vertAlign val="subscript"/>
        <sz val="9"/>
        <rFont val="Times New Roman"/>
        <family val="1"/>
      </rPr>
      <t>1</t>
    </r>
    <r>
      <rPr>
        <b/>
        <i/>
        <sz val="9"/>
        <rFont val="Times New Roman"/>
        <family val="1"/>
      </rPr>
      <t xml:space="preserve"> ~ Anchor</t>
    </r>
    <r>
      <rPr>
        <b/>
        <i/>
        <vertAlign val="subscript"/>
        <sz val="9"/>
        <rFont val="Times New Roman"/>
        <family val="1"/>
      </rPr>
      <t>2</t>
    </r>
    <r>
      <rPr>
        <b/>
        <sz val="9"/>
        <rFont val="Times New Roman"/>
        <family val="1"/>
      </rPr>
      <t xml:space="preserve"> )</t>
    </r>
    <phoneticPr fontId="2" type="noConversion"/>
  </si>
  <si>
    <r>
      <t>Span</t>
    </r>
    <r>
      <rPr>
        <b/>
        <i/>
        <vertAlign val="subscript"/>
        <sz val="9"/>
        <rFont val="Times New Roman"/>
        <family val="1"/>
      </rPr>
      <t>2</t>
    </r>
    <r>
      <rPr>
        <b/>
        <i/>
        <sz val="9"/>
        <rFont val="Times New Roman"/>
        <family val="1"/>
      </rPr>
      <t xml:space="preserve"> </t>
    </r>
    <r>
      <rPr>
        <b/>
        <sz val="9"/>
        <rFont val="Times New Roman"/>
        <family val="1"/>
      </rPr>
      <t xml:space="preserve">( </t>
    </r>
    <r>
      <rPr>
        <b/>
        <i/>
        <sz val="9"/>
        <rFont val="Times New Roman"/>
        <family val="1"/>
      </rPr>
      <t>Anchor</t>
    </r>
    <r>
      <rPr>
        <b/>
        <i/>
        <vertAlign val="subscript"/>
        <sz val="9"/>
        <rFont val="Times New Roman"/>
        <family val="1"/>
      </rPr>
      <t>2</t>
    </r>
    <r>
      <rPr>
        <b/>
        <i/>
        <sz val="9"/>
        <rFont val="Times New Roman"/>
        <family val="1"/>
      </rPr>
      <t xml:space="preserve"> ~ E.J</t>
    </r>
    <r>
      <rPr>
        <b/>
        <i/>
        <vertAlign val="subscript"/>
        <sz val="9"/>
        <rFont val="Times New Roman"/>
        <family val="1"/>
      </rPr>
      <t>2</t>
    </r>
    <r>
      <rPr>
        <b/>
        <sz val="9"/>
        <rFont val="Times New Roman"/>
        <family val="1"/>
      </rPr>
      <t xml:space="preserve"> )</t>
    </r>
    <phoneticPr fontId="2" type="noConversion"/>
  </si>
  <si>
    <r>
      <rPr>
        <b/>
        <sz val="9"/>
        <rFont val="Times New Roman"/>
        <family val="1"/>
      </rPr>
      <t xml:space="preserve">( </t>
    </r>
    <r>
      <rPr>
        <b/>
        <i/>
        <sz val="9"/>
        <rFont val="Times New Roman"/>
        <family val="1"/>
      </rPr>
      <t>L</t>
    </r>
    <r>
      <rPr>
        <b/>
        <i/>
        <vertAlign val="subscript"/>
        <sz val="9"/>
        <rFont val="Times New Roman"/>
        <family val="1"/>
      </rPr>
      <t>1</t>
    </r>
    <r>
      <rPr>
        <b/>
        <i/>
        <sz val="9"/>
        <rFont val="Times New Roman"/>
        <family val="1"/>
      </rPr>
      <t xml:space="preserve"> = Anchor</t>
    </r>
    <r>
      <rPr>
        <b/>
        <i/>
        <vertAlign val="subscript"/>
        <sz val="9"/>
        <rFont val="Times New Roman"/>
        <family val="1"/>
      </rPr>
      <t>2</t>
    </r>
    <r>
      <rPr>
        <b/>
        <i/>
        <sz val="9"/>
        <rFont val="Times New Roman"/>
        <family val="1"/>
      </rPr>
      <t xml:space="preserve"> ~ Anchor</t>
    </r>
    <r>
      <rPr>
        <b/>
        <i/>
        <vertAlign val="subscript"/>
        <sz val="9"/>
        <rFont val="Times New Roman"/>
        <family val="1"/>
      </rPr>
      <t>3</t>
    </r>
    <r>
      <rPr>
        <b/>
        <sz val="9"/>
        <rFont val="Times New Roman"/>
        <family val="1"/>
      </rPr>
      <t xml:space="preserve"> )</t>
    </r>
    <phoneticPr fontId="2" type="noConversion"/>
  </si>
  <si>
    <r>
      <rPr>
        <b/>
        <sz val="9"/>
        <rFont val="Times New Roman"/>
        <family val="1"/>
      </rPr>
      <t xml:space="preserve">( </t>
    </r>
    <r>
      <rPr>
        <b/>
        <i/>
        <sz val="9"/>
        <rFont val="Times New Roman"/>
        <family val="1"/>
      </rPr>
      <t>L</t>
    </r>
    <r>
      <rPr>
        <b/>
        <i/>
        <vertAlign val="subscript"/>
        <sz val="9"/>
        <rFont val="Times New Roman"/>
        <family val="1"/>
      </rPr>
      <t>2</t>
    </r>
    <r>
      <rPr>
        <b/>
        <i/>
        <sz val="9"/>
        <rFont val="Times New Roman"/>
        <family val="1"/>
      </rPr>
      <t xml:space="preserve"> = Anchor</t>
    </r>
    <r>
      <rPr>
        <b/>
        <i/>
        <vertAlign val="subscript"/>
        <sz val="9"/>
        <rFont val="Times New Roman"/>
        <family val="1"/>
      </rPr>
      <t>1</t>
    </r>
    <r>
      <rPr>
        <b/>
        <i/>
        <sz val="9"/>
        <rFont val="Times New Roman"/>
        <family val="1"/>
      </rPr>
      <t xml:space="preserve"> ~ Anchor</t>
    </r>
    <r>
      <rPr>
        <b/>
        <i/>
        <vertAlign val="subscript"/>
        <sz val="9"/>
        <rFont val="Times New Roman"/>
        <family val="1"/>
      </rPr>
      <t>2</t>
    </r>
    <r>
      <rPr>
        <b/>
        <sz val="9"/>
        <rFont val="Times New Roman"/>
        <family val="1"/>
      </rPr>
      <t xml:space="preserve"> )</t>
    </r>
    <phoneticPr fontId="2" type="noConversion"/>
  </si>
  <si>
    <r>
      <t>Span</t>
    </r>
    <r>
      <rPr>
        <b/>
        <i/>
        <vertAlign val="subscript"/>
        <sz val="9"/>
        <rFont val="Times New Roman"/>
        <family val="1"/>
      </rPr>
      <t>1</t>
    </r>
    <r>
      <rPr>
        <b/>
        <i/>
        <sz val="9"/>
        <rFont val="Times New Roman"/>
        <family val="1"/>
      </rPr>
      <t xml:space="preserve"> </t>
    </r>
    <r>
      <rPr>
        <b/>
        <sz val="9"/>
        <rFont val="Times New Roman"/>
        <family val="1"/>
      </rPr>
      <t xml:space="preserve">( </t>
    </r>
    <r>
      <rPr>
        <b/>
        <i/>
        <sz val="9"/>
        <rFont val="Times New Roman"/>
        <family val="1"/>
      </rPr>
      <t>Anchor</t>
    </r>
    <r>
      <rPr>
        <b/>
        <i/>
        <vertAlign val="subscript"/>
        <sz val="9"/>
        <rFont val="Times New Roman"/>
        <family val="1"/>
      </rPr>
      <t>2</t>
    </r>
    <r>
      <rPr>
        <b/>
        <i/>
        <sz val="9"/>
        <rFont val="Times New Roman"/>
        <family val="1"/>
      </rPr>
      <t xml:space="preserve"> ~ Anchor</t>
    </r>
    <r>
      <rPr>
        <b/>
        <i/>
        <vertAlign val="subscript"/>
        <sz val="9"/>
        <rFont val="Times New Roman"/>
        <family val="1"/>
      </rPr>
      <t>3</t>
    </r>
    <r>
      <rPr>
        <b/>
        <sz val="9"/>
        <rFont val="Times New Roman"/>
        <family val="1"/>
      </rPr>
      <t xml:space="preserve"> )</t>
    </r>
    <phoneticPr fontId="2" type="noConversion"/>
  </si>
  <si>
    <r>
      <t>Span</t>
    </r>
    <r>
      <rPr>
        <b/>
        <i/>
        <vertAlign val="subscript"/>
        <sz val="9"/>
        <rFont val="Times New Roman"/>
        <family val="1"/>
      </rPr>
      <t>2</t>
    </r>
    <r>
      <rPr>
        <b/>
        <i/>
        <sz val="9"/>
        <rFont val="Times New Roman"/>
        <family val="1"/>
      </rPr>
      <t xml:space="preserve"> </t>
    </r>
    <r>
      <rPr>
        <b/>
        <sz val="9"/>
        <rFont val="Times New Roman"/>
        <family val="1"/>
      </rPr>
      <t xml:space="preserve">( </t>
    </r>
    <r>
      <rPr>
        <b/>
        <i/>
        <sz val="9"/>
        <rFont val="Times New Roman"/>
        <family val="1"/>
      </rPr>
      <t>Anchor</t>
    </r>
    <r>
      <rPr>
        <b/>
        <i/>
        <vertAlign val="subscript"/>
        <sz val="9"/>
        <rFont val="Times New Roman"/>
        <family val="1"/>
      </rPr>
      <t>1</t>
    </r>
    <r>
      <rPr>
        <b/>
        <i/>
        <sz val="9"/>
        <rFont val="Times New Roman"/>
        <family val="1"/>
      </rPr>
      <t xml:space="preserve"> ~ Anchor</t>
    </r>
    <r>
      <rPr>
        <b/>
        <i/>
        <vertAlign val="subscript"/>
        <sz val="9"/>
        <rFont val="Times New Roman"/>
        <family val="1"/>
      </rPr>
      <t>2</t>
    </r>
    <r>
      <rPr>
        <b/>
        <sz val="9"/>
        <rFont val="Times New Roman"/>
        <family val="1"/>
      </rPr>
      <t xml:space="preserve"> )</t>
    </r>
    <phoneticPr fontId="2" type="noConversion"/>
  </si>
  <si>
    <r>
      <t xml:space="preserve">Span </t>
    </r>
    <r>
      <rPr>
        <b/>
        <sz val="9"/>
        <rFont val="Times New Roman"/>
        <family val="1"/>
      </rPr>
      <t>(</t>
    </r>
    <r>
      <rPr>
        <b/>
        <i/>
        <sz val="9"/>
        <rFont val="Times New Roman"/>
        <family val="1"/>
      </rPr>
      <t xml:space="preserve"> Anchor</t>
    </r>
    <r>
      <rPr>
        <b/>
        <i/>
        <vertAlign val="subscript"/>
        <sz val="9"/>
        <rFont val="Times New Roman"/>
        <family val="1"/>
      </rPr>
      <t>1</t>
    </r>
    <r>
      <rPr>
        <b/>
        <i/>
        <sz val="9"/>
        <rFont val="Times New Roman"/>
        <family val="1"/>
      </rPr>
      <t xml:space="preserve"> ~ Anchor</t>
    </r>
    <r>
      <rPr>
        <b/>
        <i/>
        <vertAlign val="subscript"/>
        <sz val="9"/>
        <rFont val="Times New Roman"/>
        <family val="1"/>
      </rPr>
      <t>2</t>
    </r>
    <r>
      <rPr>
        <b/>
        <i/>
        <sz val="9"/>
        <rFont val="Times New Roman"/>
        <family val="1"/>
      </rPr>
      <t xml:space="preserve"> </t>
    </r>
    <r>
      <rPr>
        <b/>
        <sz val="9"/>
        <rFont val="Times New Roman"/>
        <family val="1"/>
      </rPr>
      <t>)</t>
    </r>
    <phoneticPr fontId="2" type="noConversion"/>
  </si>
  <si>
    <r>
      <t>I</t>
    </r>
    <r>
      <rPr>
        <b/>
        <i/>
        <vertAlign val="subscript"/>
        <sz val="9"/>
        <rFont val="Times New Roman"/>
        <family val="1"/>
      </rPr>
      <t>X.TOTAL</t>
    </r>
    <phoneticPr fontId="2" type="noConversion"/>
  </si>
  <si>
    <r>
      <t xml:space="preserve">Moment of Inertia </t>
    </r>
    <r>
      <rPr>
        <b/>
        <sz val="9"/>
        <rFont val="Times New Roman"/>
        <family val="1"/>
      </rPr>
      <t>(</t>
    </r>
    <r>
      <rPr>
        <b/>
        <i/>
        <sz val="9"/>
        <rFont val="Times New Roman"/>
        <family val="1"/>
      </rPr>
      <t xml:space="preserve"> AL. + ST'L </t>
    </r>
    <r>
      <rPr>
        <b/>
        <sz val="9"/>
        <rFont val="Times New Roman"/>
        <family val="1"/>
      </rPr>
      <t>)</t>
    </r>
    <phoneticPr fontId="2" type="noConversion"/>
  </si>
  <si>
    <t>ALUM.</t>
    <phoneticPr fontId="38" type="noConversion"/>
  </si>
  <si>
    <t>STEEL</t>
    <phoneticPr fontId="38" type="noConversion"/>
  </si>
  <si>
    <t>(2) STEEL MEMBER</t>
    <phoneticPr fontId="2" type="noConversion"/>
  </si>
  <si>
    <r>
      <t>M</t>
    </r>
    <r>
      <rPr>
        <b/>
        <i/>
        <vertAlign val="subscript"/>
        <sz val="9"/>
        <rFont val="Times New Roman"/>
        <family val="1"/>
      </rPr>
      <t>STEEL</t>
    </r>
    <phoneticPr fontId="2" type="noConversion"/>
  </si>
  <si>
    <r>
      <t>f</t>
    </r>
    <r>
      <rPr>
        <b/>
        <i/>
        <vertAlign val="subscript"/>
        <sz val="9"/>
        <rFont val="Times New Roman"/>
        <family val="1"/>
      </rPr>
      <t>b2</t>
    </r>
    <phoneticPr fontId="2" type="noConversion"/>
  </si>
  <si>
    <t>-. DESIGN WIND PRESSURE (WALL)</t>
    <phoneticPr fontId="2" type="noConversion"/>
  </si>
  <si>
    <r>
      <t xml:space="preserve">기준 높이 ( </t>
    </r>
    <r>
      <rPr>
        <b/>
        <i/>
        <sz val="9"/>
        <color indexed="8"/>
        <rFont val="Times New Roman"/>
        <family val="1"/>
      </rPr>
      <t xml:space="preserve">H </t>
    </r>
    <r>
      <rPr>
        <b/>
        <sz val="9"/>
        <color indexed="8"/>
        <rFont val="한컴돋움"/>
        <family val="1"/>
        <charset val="129"/>
      </rPr>
      <t>)</t>
    </r>
    <phoneticPr fontId="13" type="noConversion"/>
  </si>
  <si>
    <r>
      <t xml:space="preserve">풍하중산정높이 ( </t>
    </r>
    <r>
      <rPr>
        <b/>
        <i/>
        <sz val="9"/>
        <color indexed="8"/>
        <rFont val="Times New Roman"/>
        <family val="1"/>
      </rPr>
      <t>z</t>
    </r>
    <r>
      <rPr>
        <b/>
        <sz val="9"/>
        <color indexed="8"/>
        <rFont val="Times New Roman"/>
        <family val="1"/>
      </rPr>
      <t xml:space="preserve"> </t>
    </r>
    <r>
      <rPr>
        <b/>
        <sz val="9"/>
        <color indexed="8"/>
        <rFont val="한컴돋움"/>
        <family val="1"/>
        <charset val="129"/>
      </rPr>
      <t>)</t>
    </r>
    <phoneticPr fontId="13" type="noConversion"/>
  </si>
  <si>
    <r>
      <t xml:space="preserve">z </t>
    </r>
    <r>
      <rPr>
        <b/>
        <sz val="10"/>
        <rFont val="한컴돋움"/>
        <family val="1"/>
        <charset val="129"/>
      </rPr>
      <t>≤</t>
    </r>
    <r>
      <rPr>
        <b/>
        <i/>
        <sz val="10"/>
        <rFont val="Times New Roman"/>
        <family val="1"/>
      </rPr>
      <t xml:space="preserve"> z</t>
    </r>
    <r>
      <rPr>
        <b/>
        <i/>
        <vertAlign val="subscript"/>
        <sz val="10"/>
        <rFont val="Times New Roman"/>
        <family val="1"/>
      </rPr>
      <t>b</t>
    </r>
    <phoneticPr fontId="2" type="noConversion"/>
  </si>
  <si>
    <r>
      <t>z</t>
    </r>
    <r>
      <rPr>
        <b/>
        <i/>
        <vertAlign val="subscript"/>
        <sz val="10"/>
        <rFont val="Times New Roman"/>
        <family val="1"/>
      </rPr>
      <t>b</t>
    </r>
    <r>
      <rPr>
        <b/>
        <sz val="10"/>
        <rFont val="Times New Roman"/>
        <family val="1"/>
      </rPr>
      <t>&lt;</t>
    </r>
    <r>
      <rPr>
        <b/>
        <i/>
        <sz val="10"/>
        <rFont val="Times New Roman"/>
        <family val="1"/>
      </rPr>
      <t xml:space="preserve"> z</t>
    </r>
    <r>
      <rPr>
        <b/>
        <sz val="10"/>
        <rFont val="한컴돋움"/>
        <family val="1"/>
        <charset val="129"/>
      </rPr>
      <t>≤</t>
    </r>
    <r>
      <rPr>
        <b/>
        <i/>
        <sz val="10"/>
        <rFont val="Times New Roman"/>
        <family val="1"/>
      </rPr>
      <t>Z</t>
    </r>
    <r>
      <rPr>
        <b/>
        <i/>
        <vertAlign val="subscript"/>
        <sz val="10"/>
        <rFont val="Times New Roman"/>
        <family val="1"/>
      </rPr>
      <t>g</t>
    </r>
    <phoneticPr fontId="2" type="noConversion"/>
  </si>
  <si>
    <t>지표면조도</t>
    <phoneticPr fontId="2" type="noConversion"/>
  </si>
  <si>
    <t>식</t>
    <phoneticPr fontId="2" type="noConversion"/>
  </si>
  <si>
    <r>
      <t>z</t>
    </r>
    <r>
      <rPr>
        <b/>
        <i/>
        <vertAlign val="subscript"/>
        <sz val="10"/>
        <rFont val="Times New Roman"/>
        <family val="1"/>
      </rPr>
      <t>b</t>
    </r>
    <phoneticPr fontId="2" type="noConversion"/>
  </si>
  <si>
    <r>
      <t>Z</t>
    </r>
    <r>
      <rPr>
        <b/>
        <i/>
        <vertAlign val="subscript"/>
        <sz val="10"/>
        <rFont val="Times New Roman"/>
        <family val="1"/>
      </rPr>
      <t>g</t>
    </r>
    <phoneticPr fontId="2" type="noConversion"/>
  </si>
  <si>
    <r>
      <t>·  Z</t>
    </r>
    <r>
      <rPr>
        <b/>
        <i/>
        <vertAlign val="superscript"/>
        <sz val="11"/>
        <color indexed="8"/>
        <rFont val="Times New Roman"/>
        <family val="1"/>
      </rPr>
      <t>α</t>
    </r>
    <phoneticPr fontId="2" type="noConversion"/>
  </si>
  <si>
    <t>m (대기경계층 시작 높이)</t>
    <phoneticPr fontId="2" type="noConversion"/>
  </si>
  <si>
    <t>m (기준경도풍 높이)</t>
    <phoneticPr fontId="2" type="noConversion"/>
  </si>
  <si>
    <t>m (건축물 기준높이)</t>
    <phoneticPr fontId="2" type="noConversion"/>
  </si>
  <si>
    <r>
      <t>V</t>
    </r>
    <r>
      <rPr>
        <b/>
        <i/>
        <vertAlign val="subscript"/>
        <sz val="9"/>
        <color indexed="8"/>
        <rFont val="Times New Roman"/>
        <family val="1"/>
      </rPr>
      <t>H</t>
    </r>
    <phoneticPr fontId="13" type="noConversion"/>
  </si>
  <si>
    <t xml:space="preserve">   (풍속의 고도분포지수)</t>
    <phoneticPr fontId="2" type="noConversion"/>
  </si>
  <si>
    <t>m</t>
    <phoneticPr fontId="2" type="noConversion"/>
  </si>
  <si>
    <r>
      <t xml:space="preserve">z </t>
    </r>
    <r>
      <rPr>
        <b/>
        <sz val="10"/>
        <color indexed="60"/>
        <rFont val="한컴돋움"/>
        <family val="1"/>
        <charset val="129"/>
      </rPr>
      <t>≤</t>
    </r>
    <r>
      <rPr>
        <b/>
        <i/>
        <sz val="10"/>
        <color indexed="60"/>
        <rFont val="Times New Roman"/>
        <family val="1"/>
      </rPr>
      <t xml:space="preserve"> z</t>
    </r>
    <r>
      <rPr>
        <b/>
        <i/>
        <vertAlign val="subscript"/>
        <sz val="10"/>
        <color indexed="60"/>
        <rFont val="Times New Roman"/>
        <family val="1"/>
      </rPr>
      <t>b</t>
    </r>
    <phoneticPr fontId="2" type="noConversion"/>
  </si>
  <si>
    <r>
      <rPr>
        <b/>
        <sz val="10"/>
        <color indexed="60"/>
        <rFont val="Times New Roman"/>
        <family val="1"/>
      </rPr>
      <t>(</t>
    </r>
    <r>
      <rPr>
        <b/>
        <i/>
        <sz val="10"/>
        <color indexed="60"/>
        <rFont val="Times New Roman"/>
        <family val="1"/>
      </rPr>
      <t xml:space="preserve"> z</t>
    </r>
    <r>
      <rPr>
        <b/>
        <i/>
        <vertAlign val="subscript"/>
        <sz val="10"/>
        <color indexed="60"/>
        <rFont val="Times New Roman"/>
        <family val="1"/>
      </rPr>
      <t xml:space="preserve">b </t>
    </r>
    <r>
      <rPr>
        <b/>
        <sz val="10"/>
        <color indexed="60"/>
        <rFont val="Times New Roman"/>
        <family val="1"/>
      </rPr>
      <t xml:space="preserve">/ </t>
    </r>
    <r>
      <rPr>
        <b/>
        <i/>
        <sz val="10"/>
        <color indexed="60"/>
        <rFont val="Times New Roman"/>
        <family val="1"/>
      </rPr>
      <t>H</t>
    </r>
    <r>
      <rPr>
        <b/>
        <sz val="10"/>
        <color indexed="60"/>
        <rFont val="Times New Roman"/>
        <family val="1"/>
      </rPr>
      <t xml:space="preserve"> )</t>
    </r>
    <r>
      <rPr>
        <b/>
        <vertAlign val="superscript"/>
        <sz val="10"/>
        <color indexed="60"/>
        <rFont val="Times New Roman"/>
        <family val="1"/>
      </rPr>
      <t>2α</t>
    </r>
    <phoneticPr fontId="2" type="noConversion"/>
  </si>
  <si>
    <r>
      <t>z</t>
    </r>
    <r>
      <rPr>
        <b/>
        <i/>
        <vertAlign val="subscript"/>
        <sz val="10"/>
        <color indexed="60"/>
        <rFont val="Times New Roman"/>
        <family val="1"/>
      </rPr>
      <t xml:space="preserve">b </t>
    </r>
    <r>
      <rPr>
        <b/>
        <sz val="10"/>
        <color indexed="60"/>
        <rFont val="Times New Roman"/>
        <family val="1"/>
      </rPr>
      <t>&lt;</t>
    </r>
    <r>
      <rPr>
        <b/>
        <i/>
        <sz val="10"/>
        <color indexed="60"/>
        <rFont val="Times New Roman"/>
        <family val="1"/>
      </rPr>
      <t xml:space="preserve">  z &lt; 0.8H</t>
    </r>
    <phoneticPr fontId="2" type="noConversion"/>
  </si>
  <si>
    <r>
      <rPr>
        <b/>
        <sz val="10"/>
        <color indexed="60"/>
        <rFont val="Times New Roman"/>
        <family val="1"/>
      </rPr>
      <t>(</t>
    </r>
    <r>
      <rPr>
        <b/>
        <i/>
        <sz val="10"/>
        <color indexed="60"/>
        <rFont val="Times New Roman"/>
        <family val="1"/>
      </rPr>
      <t xml:space="preserve"> z</t>
    </r>
    <r>
      <rPr>
        <b/>
        <i/>
        <vertAlign val="subscript"/>
        <sz val="10"/>
        <color indexed="60"/>
        <rFont val="Times New Roman"/>
        <family val="1"/>
      </rPr>
      <t xml:space="preserve"> </t>
    </r>
    <r>
      <rPr>
        <b/>
        <sz val="10"/>
        <color indexed="60"/>
        <rFont val="Times New Roman"/>
        <family val="1"/>
      </rPr>
      <t xml:space="preserve">/ </t>
    </r>
    <r>
      <rPr>
        <b/>
        <i/>
        <sz val="10"/>
        <color indexed="60"/>
        <rFont val="Times New Roman"/>
        <family val="1"/>
      </rPr>
      <t>H</t>
    </r>
    <r>
      <rPr>
        <b/>
        <sz val="10"/>
        <color indexed="60"/>
        <rFont val="Times New Roman"/>
        <family val="1"/>
      </rPr>
      <t xml:space="preserve"> )</t>
    </r>
    <r>
      <rPr>
        <b/>
        <vertAlign val="superscript"/>
        <sz val="10"/>
        <color indexed="60"/>
        <rFont val="Times New Roman"/>
        <family val="1"/>
      </rPr>
      <t>2α</t>
    </r>
    <phoneticPr fontId="2" type="noConversion"/>
  </si>
  <si>
    <r>
      <t xml:space="preserve"> z  </t>
    </r>
    <r>
      <rPr>
        <b/>
        <sz val="10"/>
        <color indexed="60"/>
        <rFont val="한컴돋움"/>
        <family val="1"/>
        <charset val="129"/>
      </rPr>
      <t>≥</t>
    </r>
    <r>
      <rPr>
        <b/>
        <i/>
        <sz val="10"/>
        <color indexed="60"/>
        <rFont val="Times New Roman"/>
        <family val="1"/>
      </rPr>
      <t xml:space="preserve"> 0.8H</t>
    </r>
    <phoneticPr fontId="2" type="noConversion"/>
  </si>
  <si>
    <r>
      <rPr>
        <b/>
        <sz val="10"/>
        <color indexed="60"/>
        <rFont val="Times New Roman"/>
        <family val="1"/>
      </rPr>
      <t xml:space="preserve">0.8 </t>
    </r>
    <r>
      <rPr>
        <b/>
        <vertAlign val="superscript"/>
        <sz val="10"/>
        <color indexed="60"/>
        <rFont val="Times New Roman"/>
        <family val="1"/>
      </rPr>
      <t>2α</t>
    </r>
    <phoneticPr fontId="2" type="noConversion"/>
  </si>
  <si>
    <r>
      <rPr>
        <b/>
        <sz val="9"/>
        <rFont val="바탕"/>
        <family val="1"/>
        <charset val="129"/>
      </rPr>
      <t>←</t>
    </r>
    <r>
      <rPr>
        <b/>
        <i/>
        <sz val="9"/>
        <rFont val="Times New Roman"/>
        <family val="1"/>
      </rPr>
      <t xml:space="preserve">  k</t>
    </r>
    <r>
      <rPr>
        <b/>
        <i/>
        <vertAlign val="subscript"/>
        <sz val="9"/>
        <rFont val="Times New Roman"/>
        <family val="1"/>
      </rPr>
      <t>z</t>
    </r>
    <phoneticPr fontId="2" type="noConversion"/>
  </si>
  <si>
    <r>
      <rPr>
        <b/>
        <i/>
        <sz val="9"/>
        <color indexed="8"/>
        <rFont val="Times New Roman"/>
        <family val="1"/>
      </rPr>
      <t>q</t>
    </r>
    <r>
      <rPr>
        <b/>
        <i/>
        <vertAlign val="subscript"/>
        <sz val="9"/>
        <color indexed="8"/>
        <rFont val="Times New Roman"/>
        <family val="1"/>
      </rPr>
      <t>H</t>
    </r>
    <phoneticPr fontId="13" type="noConversion"/>
  </si>
  <si>
    <r>
      <t>1 / 2 · ρ · V</t>
    </r>
    <r>
      <rPr>
        <b/>
        <i/>
        <vertAlign val="subscript"/>
        <sz val="9"/>
        <rFont val="Times New Roman"/>
        <family val="1"/>
      </rPr>
      <t>H</t>
    </r>
    <r>
      <rPr>
        <b/>
        <i/>
        <vertAlign val="superscript"/>
        <sz val="9"/>
        <rFont val="Times New Roman"/>
        <family val="1"/>
      </rPr>
      <t>2</t>
    </r>
    <phoneticPr fontId="2" type="noConversion"/>
  </si>
  <si>
    <t>· 지붕면 평균높이가 높이 20m 미만인 경우</t>
    <phoneticPr fontId="13" type="noConversion"/>
  </si>
  <si>
    <r>
      <t>k</t>
    </r>
    <r>
      <rPr>
        <b/>
        <i/>
        <vertAlign val="subscript"/>
        <sz val="9"/>
        <rFont val="Times New Roman"/>
        <family val="1"/>
      </rPr>
      <t>z</t>
    </r>
    <r>
      <rPr>
        <b/>
        <i/>
        <sz val="9"/>
        <rFont val="Times New Roman"/>
        <family val="1"/>
      </rPr>
      <t xml:space="preserve"> </t>
    </r>
    <phoneticPr fontId="2" type="noConversion"/>
  </si>
  <si>
    <r>
      <t xml:space="preserve">외장재 설계용 </t>
    </r>
    <r>
      <rPr>
        <b/>
        <i/>
        <sz val="9"/>
        <rFont val="Times New Roman"/>
        <family val="1"/>
      </rPr>
      <t>G·Cpe</t>
    </r>
    <r>
      <rPr>
        <b/>
        <sz val="9"/>
        <rFont val="한컴돋움"/>
        <family val="1"/>
        <charset val="129"/>
      </rPr>
      <t xml:space="preserve"> 산정 (벽)</t>
    </r>
    <phoneticPr fontId="2" type="noConversion"/>
  </si>
  <si>
    <t>높이 H ≥ 20m  : 정압 ④ , ⑤</t>
    <phoneticPr fontId="2" type="noConversion"/>
  </si>
  <si>
    <t>높이 H &lt; 20m  : 정압 ④ , ⑤</t>
    <phoneticPr fontId="2" type="noConversion"/>
  </si>
  <si>
    <r>
      <rPr>
        <b/>
        <i/>
        <sz val="9"/>
        <color indexed="8"/>
        <rFont val="Times New Roman"/>
        <family val="1"/>
      </rPr>
      <t>A</t>
    </r>
    <r>
      <rPr>
        <b/>
        <sz val="9"/>
        <color indexed="8"/>
        <rFont val="한컴돋움"/>
        <family val="1"/>
        <charset val="129"/>
      </rPr>
      <t xml:space="preserve">   =</t>
    </r>
    <phoneticPr fontId="2" type="noConversion"/>
  </si>
  <si>
    <r>
      <t>m</t>
    </r>
    <r>
      <rPr>
        <b/>
        <vertAlign val="superscript"/>
        <sz val="9"/>
        <rFont val="한컴돋움"/>
        <family val="1"/>
        <charset val="129"/>
      </rPr>
      <t>2</t>
    </r>
    <phoneticPr fontId="2" type="noConversion"/>
  </si>
  <si>
    <t>A ≤ 2</t>
    <phoneticPr fontId="2" type="noConversion"/>
  </si>
  <si>
    <t>A ≤ 1</t>
    <phoneticPr fontId="2" type="noConversion"/>
  </si>
  <si>
    <t>2&lt;A≤50</t>
    <phoneticPr fontId="2" type="noConversion"/>
  </si>
  <si>
    <t>A &gt; 50</t>
    <phoneticPr fontId="2" type="noConversion"/>
  </si>
  <si>
    <t>Used G·Cpe</t>
    <phoneticPr fontId="2" type="noConversion"/>
  </si>
  <si>
    <t>높이 H ≥ 20m  : 부압 ④</t>
    <phoneticPr fontId="2" type="noConversion"/>
  </si>
  <si>
    <t>높이 H &lt; 20m  : 부압 ④</t>
    <phoneticPr fontId="2" type="noConversion"/>
  </si>
  <si>
    <t>높이 H ≥ 20m  : 부압 ⑤</t>
    <phoneticPr fontId="2" type="noConversion"/>
  </si>
  <si>
    <t>높이 H &lt; 20m  : 부압 ⑤</t>
    <phoneticPr fontId="2" type="noConversion"/>
  </si>
  <si>
    <t>(정압)</t>
    <phoneticPr fontId="2" type="noConversion"/>
  </si>
  <si>
    <t xml:space="preserve"> (부압)</t>
    <phoneticPr fontId="2" type="noConversion"/>
  </si>
  <si>
    <t>(코너)</t>
    <phoneticPr fontId="2" type="noConversion"/>
  </si>
  <si>
    <t>kPa</t>
    <phoneticPr fontId="2" type="noConversion"/>
  </si>
  <si>
    <t>MPa</t>
    <phoneticPr fontId="2" type="noConversion"/>
  </si>
  <si>
    <t>mm</t>
    <phoneticPr fontId="2" type="noConversion"/>
  </si>
  <si>
    <t xml:space="preserve">kN.mm </t>
    <phoneticPr fontId="2" type="noConversion"/>
  </si>
  <si>
    <r>
      <t xml:space="preserve">↓ 자동변경부분 </t>
    </r>
    <r>
      <rPr>
        <b/>
        <sz val="9"/>
        <color rgb="FFC00000"/>
        <rFont val="한컴돋움"/>
        <family val="1"/>
        <charset val="129"/>
      </rPr>
      <t>( 건드리지 말것!!! )</t>
    </r>
    <phoneticPr fontId="2" type="noConversion"/>
  </si>
  <si>
    <t>t2</t>
    <phoneticPr fontId="38" type="noConversion"/>
  </si>
  <si>
    <t>t1</t>
    <phoneticPr fontId="2" type="noConversion"/>
  </si>
  <si>
    <t>h1</t>
    <phoneticPr fontId="2" type="noConversion"/>
  </si>
  <si>
    <t>h2</t>
    <phoneticPr fontId="2" type="noConversion"/>
  </si>
  <si>
    <t>b</t>
    <phoneticPr fontId="2" type="noConversion"/>
  </si>
  <si>
    <r>
      <t>t</t>
    </r>
    <r>
      <rPr>
        <b/>
        <i/>
        <vertAlign val="subscript"/>
        <sz val="9"/>
        <rFont val="Times New Roman"/>
        <family val="1"/>
      </rPr>
      <t>2</t>
    </r>
    <phoneticPr fontId="38" type="noConversion"/>
  </si>
  <si>
    <t>t3</t>
    <phoneticPr fontId="38" type="noConversion"/>
  </si>
  <si>
    <t xml:space="preserve">mm </t>
    <phoneticPr fontId="2" type="noConversion"/>
  </si>
  <si>
    <r>
      <t>mm</t>
    </r>
    <r>
      <rPr>
        <b/>
        <vertAlign val="superscript"/>
        <sz val="9"/>
        <rFont val="한컴돋움"/>
        <family val="1"/>
        <charset val="129"/>
      </rPr>
      <t>4</t>
    </r>
    <r>
      <rPr>
        <b/>
        <sz val="9"/>
        <rFont val="한컴돋움"/>
        <family val="1"/>
        <charset val="129"/>
      </rPr>
      <t xml:space="preserve"> </t>
    </r>
    <phoneticPr fontId="2" type="noConversion"/>
  </si>
  <si>
    <r>
      <t>mm</t>
    </r>
    <r>
      <rPr>
        <b/>
        <vertAlign val="superscript"/>
        <sz val="9"/>
        <rFont val="한컴돋움"/>
        <family val="1"/>
        <charset val="129"/>
      </rPr>
      <t>3</t>
    </r>
    <r>
      <rPr>
        <b/>
        <sz val="9"/>
        <rFont val="한컴돋움"/>
        <family val="1"/>
        <charset val="129"/>
      </rPr>
      <t xml:space="preserve"> </t>
    </r>
    <phoneticPr fontId="2" type="noConversion"/>
  </si>
  <si>
    <r>
      <t>mm</t>
    </r>
    <r>
      <rPr>
        <b/>
        <vertAlign val="superscript"/>
        <sz val="9"/>
        <rFont val="한컴돋움"/>
        <family val="1"/>
        <charset val="129"/>
      </rPr>
      <t>3</t>
    </r>
    <phoneticPr fontId="2" type="noConversion"/>
  </si>
  <si>
    <r>
      <t>mm</t>
    </r>
    <r>
      <rPr>
        <b/>
        <vertAlign val="superscript"/>
        <sz val="9"/>
        <rFont val="한컴돋움"/>
        <family val="1"/>
        <charset val="129"/>
      </rPr>
      <t>4</t>
    </r>
    <r>
      <rPr>
        <b/>
        <sz val="9"/>
        <rFont val="한컴돋움"/>
        <family val="1"/>
        <charset val="129"/>
      </rPr>
      <t xml:space="preserve"> </t>
    </r>
    <phoneticPr fontId="2" type="noConversion"/>
  </si>
  <si>
    <r>
      <t>mm</t>
    </r>
    <r>
      <rPr>
        <b/>
        <vertAlign val="superscript"/>
        <sz val="9"/>
        <rFont val="한컴돋움"/>
        <family val="1"/>
        <charset val="129"/>
      </rPr>
      <t>3</t>
    </r>
    <r>
      <rPr>
        <b/>
        <sz val="9"/>
        <rFont val="한컴돋움"/>
        <family val="1"/>
        <charset val="129"/>
      </rPr>
      <t xml:space="preserve"> </t>
    </r>
    <phoneticPr fontId="2" type="noConversion"/>
  </si>
  <si>
    <r>
      <t>* INPUT DATA</t>
    </r>
    <r>
      <rPr>
        <b/>
        <sz val="8"/>
        <rFont val="한컴돋움"/>
        <family val="1"/>
        <charset val="129"/>
      </rPr>
      <t xml:space="preserve"> (빨간색 부분 직접 입력)</t>
    </r>
    <phoneticPr fontId="2" type="noConversion"/>
  </si>
  <si>
    <r>
      <t>mm</t>
    </r>
    <r>
      <rPr>
        <b/>
        <vertAlign val="superscript"/>
        <sz val="9"/>
        <rFont val="한컴돋움"/>
        <family val="1"/>
        <charset val="129"/>
      </rPr>
      <t>4</t>
    </r>
    <phoneticPr fontId="2" type="noConversion"/>
  </si>
  <si>
    <t>N</t>
    <phoneticPr fontId="2" type="noConversion"/>
  </si>
  <si>
    <t>N/mm</t>
    <phoneticPr fontId="2" type="noConversion"/>
  </si>
  <si>
    <t>mm</t>
    <phoneticPr fontId="2" type="noConversion"/>
  </si>
  <si>
    <t>mm</t>
    <phoneticPr fontId="3" type="noConversion"/>
  </si>
  <si>
    <r>
      <t>mm</t>
    </r>
    <r>
      <rPr>
        <b/>
        <vertAlign val="superscript"/>
        <sz val="9"/>
        <rFont val="한컴돋움"/>
        <family val="1"/>
        <charset val="129"/>
      </rPr>
      <t>4</t>
    </r>
    <phoneticPr fontId="2" type="noConversion"/>
  </si>
  <si>
    <r>
      <t>mm</t>
    </r>
    <r>
      <rPr>
        <b/>
        <vertAlign val="superscript"/>
        <sz val="9"/>
        <rFont val="한컴돋움"/>
        <family val="1"/>
        <charset val="129"/>
      </rPr>
      <t>3</t>
    </r>
    <phoneticPr fontId="2" type="noConversion"/>
  </si>
  <si>
    <t>Mpa</t>
    <phoneticPr fontId="2" type="noConversion"/>
  </si>
  <si>
    <r>
      <t>Δ</t>
    </r>
    <r>
      <rPr>
        <b/>
        <i/>
        <vertAlign val="subscript"/>
        <sz val="9"/>
        <rFont val="Times New Roman"/>
        <family val="1"/>
      </rPr>
      <t>MAX</t>
    </r>
    <phoneticPr fontId="2" type="noConversion"/>
  </si>
  <si>
    <r>
      <t>Δ</t>
    </r>
    <r>
      <rPr>
        <b/>
        <i/>
        <vertAlign val="subscript"/>
        <sz val="9"/>
        <rFont val="Times New Roman"/>
        <family val="1"/>
      </rPr>
      <t xml:space="preserve">ALL </t>
    </r>
    <phoneticPr fontId="2" type="noConversion"/>
  </si>
  <si>
    <t>(자동 1, 수동 2)</t>
    <phoneticPr fontId="2" type="noConversion"/>
  </si>
  <si>
    <r>
      <t>I</t>
    </r>
    <r>
      <rPr>
        <b/>
        <i/>
        <vertAlign val="subscript"/>
        <sz val="9"/>
        <rFont val="Times New Roman"/>
        <family val="1"/>
      </rPr>
      <t>X , Total</t>
    </r>
    <phoneticPr fontId="38" type="noConversion"/>
  </si>
  <si>
    <r>
      <t>I</t>
    </r>
    <r>
      <rPr>
        <b/>
        <i/>
        <vertAlign val="subscript"/>
        <sz val="9"/>
        <rFont val="Times New Roman"/>
        <family val="1"/>
      </rPr>
      <t>Y, Total</t>
    </r>
    <phoneticPr fontId="38" type="noConversion"/>
  </si>
  <si>
    <r>
      <t xml:space="preserve">ALUM.  </t>
    </r>
    <r>
      <rPr>
        <b/>
        <sz val="9"/>
        <rFont val="Times New Roman"/>
        <family val="1"/>
      </rPr>
      <t>:</t>
    </r>
    <phoneticPr fontId="38" type="noConversion"/>
  </si>
  <si>
    <r>
      <t xml:space="preserve">STEEL  </t>
    </r>
    <r>
      <rPr>
        <b/>
        <sz val="9"/>
        <rFont val="Times New Roman"/>
        <family val="1"/>
      </rPr>
      <t>:</t>
    </r>
    <phoneticPr fontId="38" type="noConversion"/>
  </si>
  <si>
    <r>
      <t>L</t>
    </r>
    <r>
      <rPr>
        <b/>
        <i/>
        <vertAlign val="subscript"/>
        <sz val="9"/>
        <rFont val="Times New Roman"/>
        <family val="1"/>
      </rPr>
      <t>2</t>
    </r>
    <r>
      <rPr>
        <b/>
        <i/>
        <sz val="9"/>
        <rFont val="Times New Roman"/>
        <family val="1"/>
      </rPr>
      <t xml:space="preserve"> , Long </t>
    </r>
    <phoneticPr fontId="2" type="noConversion"/>
  </si>
  <si>
    <r>
      <t>L</t>
    </r>
    <r>
      <rPr>
        <b/>
        <i/>
        <vertAlign val="subscript"/>
        <sz val="9"/>
        <rFont val="Times New Roman"/>
        <family val="1"/>
      </rPr>
      <t>1</t>
    </r>
    <r>
      <rPr>
        <b/>
        <i/>
        <sz val="9"/>
        <rFont val="Times New Roman"/>
        <family val="1"/>
      </rPr>
      <t xml:space="preserve"> , Short</t>
    </r>
    <phoneticPr fontId="2" type="noConversion"/>
  </si>
  <si>
    <r>
      <t>L</t>
    </r>
    <r>
      <rPr>
        <b/>
        <i/>
        <vertAlign val="subscript"/>
        <sz val="9"/>
        <rFont val="Times New Roman"/>
        <family val="1"/>
      </rPr>
      <t>3</t>
    </r>
    <r>
      <rPr>
        <b/>
        <i/>
        <sz val="9"/>
        <rFont val="Times New Roman"/>
        <family val="1"/>
      </rPr>
      <t xml:space="preserve"> , L</t>
    </r>
    <r>
      <rPr>
        <b/>
        <i/>
        <vertAlign val="subscript"/>
        <sz val="9"/>
        <rFont val="Times New Roman"/>
        <family val="1"/>
      </rPr>
      <t>b</t>
    </r>
    <phoneticPr fontId="2" type="noConversion"/>
  </si>
  <si>
    <r>
      <t>I</t>
    </r>
    <r>
      <rPr>
        <b/>
        <i/>
        <vertAlign val="subscript"/>
        <sz val="9"/>
        <rFont val="Times New Roman"/>
        <family val="1"/>
      </rPr>
      <t xml:space="preserve">1 </t>
    </r>
    <r>
      <rPr>
        <b/>
        <i/>
        <sz val="9"/>
        <rFont val="Times New Roman"/>
        <family val="1"/>
      </rPr>
      <t>( = I</t>
    </r>
    <r>
      <rPr>
        <b/>
        <i/>
        <vertAlign val="subscript"/>
        <sz val="9"/>
        <rFont val="Times New Roman"/>
        <family val="1"/>
      </rPr>
      <t xml:space="preserve">2 </t>
    </r>
    <r>
      <rPr>
        <b/>
        <i/>
        <sz val="9"/>
        <rFont val="Times New Roman"/>
        <family val="1"/>
      </rPr>
      <t>)</t>
    </r>
    <phoneticPr fontId="2" type="noConversion"/>
  </si>
  <si>
    <r>
      <t>mm</t>
    </r>
    <r>
      <rPr>
        <b/>
        <vertAlign val="superscript"/>
        <sz val="9"/>
        <rFont val="한컴돋움"/>
        <family val="1"/>
        <charset val="129"/>
      </rPr>
      <t>4</t>
    </r>
    <phoneticPr fontId="2" type="noConversion"/>
  </si>
  <si>
    <t>N</t>
    <phoneticPr fontId="2" type="noConversion"/>
  </si>
  <si>
    <t xml:space="preserve">mm </t>
    <phoneticPr fontId="2" type="noConversion"/>
  </si>
  <si>
    <t xml:space="preserve">N.mm </t>
    <phoneticPr fontId="2" type="noConversion"/>
  </si>
  <si>
    <t>N.mm</t>
    <phoneticPr fontId="2" type="noConversion"/>
  </si>
  <si>
    <t>mm</t>
    <phoneticPr fontId="2" type="noConversion"/>
  </si>
  <si>
    <r>
      <t>mm</t>
    </r>
    <r>
      <rPr>
        <b/>
        <vertAlign val="superscript"/>
        <sz val="9"/>
        <rFont val="한컴돋움"/>
        <family val="1"/>
        <charset val="129"/>
      </rPr>
      <t>4</t>
    </r>
    <r>
      <rPr>
        <b/>
        <sz val="9"/>
        <rFont val="한컴돋움"/>
        <family val="1"/>
        <charset val="129"/>
      </rPr>
      <t xml:space="preserve"> </t>
    </r>
    <phoneticPr fontId="2" type="noConversion"/>
  </si>
  <si>
    <r>
      <t>mm</t>
    </r>
    <r>
      <rPr>
        <b/>
        <vertAlign val="superscript"/>
        <sz val="9"/>
        <rFont val="한컴돋움"/>
        <family val="1"/>
        <charset val="129"/>
      </rPr>
      <t>3</t>
    </r>
    <r>
      <rPr>
        <b/>
        <sz val="9"/>
        <rFont val="한컴돋움"/>
        <family val="1"/>
        <charset val="129"/>
      </rPr>
      <t xml:space="preserve"> </t>
    </r>
    <phoneticPr fontId="2" type="noConversion"/>
  </si>
  <si>
    <r>
      <t>mm</t>
    </r>
    <r>
      <rPr>
        <b/>
        <vertAlign val="superscript"/>
        <sz val="9"/>
        <rFont val="한컴돋움"/>
        <family val="1"/>
        <charset val="129"/>
      </rPr>
      <t>3</t>
    </r>
    <phoneticPr fontId="8" type="noConversion"/>
  </si>
  <si>
    <t>MPa</t>
    <phoneticPr fontId="2" type="noConversion"/>
  </si>
  <si>
    <r>
      <t>mm</t>
    </r>
    <r>
      <rPr>
        <b/>
        <vertAlign val="superscript"/>
        <sz val="9"/>
        <rFont val="한컴돋움"/>
        <family val="1"/>
        <charset val="129"/>
      </rPr>
      <t>2</t>
    </r>
    <phoneticPr fontId="2" type="noConversion"/>
  </si>
  <si>
    <r>
      <t>mm</t>
    </r>
    <r>
      <rPr>
        <b/>
        <vertAlign val="superscript"/>
        <sz val="9"/>
        <rFont val="한컴돋움"/>
        <family val="1"/>
        <charset val="129"/>
      </rPr>
      <t xml:space="preserve"> </t>
    </r>
    <phoneticPr fontId="2" type="noConversion"/>
  </si>
  <si>
    <r>
      <t xml:space="preserve">90,0000 /  </t>
    </r>
    <r>
      <rPr>
        <b/>
        <sz val="9"/>
        <rFont val="Times New Roman"/>
        <family val="1"/>
      </rPr>
      <t>(</t>
    </r>
    <r>
      <rPr>
        <b/>
        <i/>
        <sz val="9"/>
        <rFont val="Times New Roman"/>
        <family val="1"/>
      </rPr>
      <t xml:space="preserve"> L</t>
    </r>
    <r>
      <rPr>
        <b/>
        <i/>
        <vertAlign val="subscript"/>
        <sz val="9"/>
        <rFont val="Times New Roman"/>
        <family val="1"/>
      </rPr>
      <t>b</t>
    </r>
    <r>
      <rPr>
        <b/>
        <i/>
        <sz val="9"/>
        <rFont val="Times New Roman"/>
        <family val="1"/>
      </rPr>
      <t xml:space="preserve"> * H / A</t>
    </r>
    <r>
      <rPr>
        <b/>
        <i/>
        <vertAlign val="subscript"/>
        <sz val="9"/>
        <rFont val="Times New Roman"/>
        <family val="1"/>
      </rPr>
      <t>f</t>
    </r>
    <r>
      <rPr>
        <b/>
        <i/>
        <sz val="9"/>
        <rFont val="Times New Roman"/>
        <family val="1"/>
      </rPr>
      <t xml:space="preserve"> </t>
    </r>
    <r>
      <rPr>
        <b/>
        <sz val="9"/>
        <rFont val="Times New Roman"/>
        <family val="1"/>
      </rPr>
      <t>)</t>
    </r>
    <phoneticPr fontId="2" type="noConversion"/>
  </si>
  <si>
    <t>-. CHECK FOR VERTICAL STEEL MULLION</t>
    <phoneticPr fontId="2" type="noConversion"/>
  </si>
  <si>
    <r>
      <t>m</t>
    </r>
    <r>
      <rPr>
        <b/>
        <vertAlign val="superscript"/>
        <sz val="9"/>
        <color theme="1"/>
        <rFont val="한컴돋움"/>
        <family val="1"/>
        <charset val="129"/>
      </rPr>
      <t>2</t>
    </r>
    <phoneticPr fontId="2" type="noConversion"/>
  </si>
  <si>
    <r>
      <rPr>
        <b/>
        <sz val="9"/>
        <rFont val="Times New Roman"/>
        <family val="1"/>
      </rPr>
      <t>(</t>
    </r>
    <r>
      <rPr>
        <b/>
        <i/>
        <sz val="9"/>
        <rFont val="Times New Roman"/>
        <family val="1"/>
      </rPr>
      <t xml:space="preserve"> a + L </t>
    </r>
    <r>
      <rPr>
        <b/>
        <sz val="9"/>
        <rFont val="Times New Roman"/>
        <family val="1"/>
      </rPr>
      <t>)</t>
    </r>
    <r>
      <rPr>
        <b/>
        <i/>
        <sz val="9"/>
        <rFont val="Times New Roman"/>
        <family val="1"/>
      </rPr>
      <t xml:space="preserve">  /  L * P</t>
    </r>
    <phoneticPr fontId="2" type="noConversion"/>
  </si>
  <si>
    <t>N.mm</t>
    <phoneticPr fontId="2" type="noConversion"/>
  </si>
  <si>
    <t xml:space="preserve">N.mm </t>
    <phoneticPr fontId="2" type="noConversion"/>
  </si>
  <si>
    <t>N/mm</t>
    <phoneticPr fontId="2" type="noConversion"/>
  </si>
  <si>
    <t xml:space="preserve">N.mm </t>
    <phoneticPr fontId="2" type="noConversion"/>
  </si>
  <si>
    <t xml:space="preserve">N.mm </t>
    <phoneticPr fontId="2" type="noConversion"/>
  </si>
  <si>
    <t>N.mm</t>
    <phoneticPr fontId="2" type="noConversion"/>
  </si>
  <si>
    <t>Pa</t>
    <phoneticPr fontId="2" type="noConversion"/>
  </si>
  <si>
    <r>
      <t>kgf/m</t>
    </r>
    <r>
      <rPr>
        <b/>
        <vertAlign val="superscript"/>
        <sz val="9"/>
        <color theme="1"/>
        <rFont val="한컴돋움"/>
        <family val="1"/>
        <charset val="129"/>
      </rPr>
      <t>2</t>
    </r>
    <phoneticPr fontId="2" type="noConversion"/>
  </si>
  <si>
    <r>
      <t>h</t>
    </r>
    <r>
      <rPr>
        <b/>
        <i/>
        <vertAlign val="subscript"/>
        <sz val="9"/>
        <rFont val="Times New Roman"/>
        <family val="1"/>
      </rPr>
      <t>2</t>
    </r>
    <phoneticPr fontId="38" type="noConversion"/>
  </si>
  <si>
    <r>
      <t>h</t>
    </r>
    <r>
      <rPr>
        <b/>
        <i/>
        <vertAlign val="subscript"/>
        <sz val="9"/>
        <rFont val="Times New Roman"/>
        <family val="1"/>
      </rPr>
      <t>2</t>
    </r>
    <phoneticPr fontId="38" type="noConversion"/>
  </si>
  <si>
    <t>C</t>
    <phoneticPr fontId="13" type="noConversion"/>
  </si>
  <si>
    <t>kPa</t>
    <phoneticPr fontId="13" type="noConversion"/>
  </si>
  <si>
    <t>Wind Pressure Design Condition</t>
    <phoneticPr fontId="13" type="noConversion"/>
  </si>
  <si>
    <t>(1) Input Data</t>
    <phoneticPr fontId="3" type="noConversion"/>
  </si>
  <si>
    <r>
      <t xml:space="preserve">기준 높이 ( </t>
    </r>
    <r>
      <rPr>
        <b/>
        <i/>
        <sz val="9"/>
        <color indexed="8"/>
        <rFont val="Times New Roman"/>
        <family val="1"/>
      </rPr>
      <t xml:space="preserve">Z </t>
    </r>
    <r>
      <rPr>
        <b/>
        <sz val="9"/>
        <color indexed="8"/>
        <rFont val="한컴돋움"/>
        <family val="1"/>
        <charset val="129"/>
      </rPr>
      <t>)</t>
    </r>
    <phoneticPr fontId="13" type="noConversion"/>
  </si>
  <si>
    <t>(2) Output Data</t>
    <phoneticPr fontId="3" type="noConversion"/>
  </si>
  <si>
    <t>ZONE</t>
    <phoneticPr fontId="2" type="noConversion"/>
  </si>
  <si>
    <r>
      <t>k</t>
    </r>
    <r>
      <rPr>
        <b/>
        <i/>
        <vertAlign val="subscript"/>
        <sz val="9"/>
        <color indexed="8"/>
        <rFont val="Times New Roman"/>
        <family val="1"/>
      </rPr>
      <t>z</t>
    </r>
    <r>
      <rPr>
        <b/>
        <i/>
        <sz val="9"/>
        <color indexed="8"/>
        <rFont val="Times New Roman"/>
        <family val="1"/>
      </rPr>
      <t xml:space="preserve"> </t>
    </r>
    <phoneticPr fontId="2" type="noConversion"/>
  </si>
  <si>
    <r>
      <t>P</t>
    </r>
    <r>
      <rPr>
        <b/>
        <i/>
        <vertAlign val="subscript"/>
        <sz val="9"/>
        <color theme="1"/>
        <rFont val="Times New Roman"/>
        <family val="1"/>
      </rPr>
      <t>C</t>
    </r>
    <r>
      <rPr>
        <b/>
        <i/>
        <sz val="9"/>
        <color theme="1"/>
        <rFont val="Times New Roman"/>
        <family val="1"/>
      </rPr>
      <t xml:space="preserve"> </t>
    </r>
    <r>
      <rPr>
        <b/>
        <sz val="9"/>
        <color theme="1"/>
        <rFont val="Times New Roman"/>
        <family val="1"/>
      </rPr>
      <t>( kPa )</t>
    </r>
    <phoneticPr fontId="13" type="noConversion"/>
  </si>
  <si>
    <t>(+)</t>
    <phoneticPr fontId="2" type="noConversion"/>
  </si>
  <si>
    <t>(-)</t>
    <phoneticPr fontId="2" type="noConversion"/>
  </si>
  <si>
    <t>④ ZONE</t>
    <phoneticPr fontId="2" type="noConversion"/>
  </si>
  <si>
    <t>⑤ ZONE</t>
    <phoneticPr fontId="2" type="noConversion"/>
  </si>
  <si>
    <r>
      <t>P</t>
    </r>
    <r>
      <rPr>
        <b/>
        <i/>
        <vertAlign val="subscript"/>
        <sz val="9"/>
        <rFont val="Times New Roman"/>
        <family val="1"/>
      </rPr>
      <t>C +</t>
    </r>
    <phoneticPr fontId="2" type="noConversion"/>
  </si>
  <si>
    <r>
      <t>P</t>
    </r>
    <r>
      <rPr>
        <b/>
        <i/>
        <vertAlign val="subscript"/>
        <sz val="9"/>
        <rFont val="Times New Roman"/>
        <family val="1"/>
      </rPr>
      <t>C -</t>
    </r>
    <phoneticPr fontId="2" type="noConversion"/>
  </si>
  <si>
    <t>(3) Wind Load On Cladding</t>
    <phoneticPr fontId="3" type="noConversion"/>
  </si>
  <si>
    <r>
      <t xml:space="preserve">Design Wind Velocity ( </t>
    </r>
    <r>
      <rPr>
        <b/>
        <i/>
        <sz val="10"/>
        <color indexed="8"/>
        <rFont val="Times New Roman"/>
        <family val="1"/>
      </rPr>
      <t>V</t>
    </r>
    <r>
      <rPr>
        <b/>
        <i/>
        <vertAlign val="subscript"/>
        <sz val="10"/>
        <color indexed="8"/>
        <rFont val="Times New Roman"/>
        <family val="1"/>
      </rPr>
      <t>H</t>
    </r>
    <r>
      <rPr>
        <b/>
        <vertAlign val="subscript"/>
        <sz val="10"/>
        <color indexed="8"/>
        <rFont val="한컴돋움"/>
        <family val="1"/>
        <charset val="129"/>
      </rPr>
      <t xml:space="preserve"> </t>
    </r>
    <r>
      <rPr>
        <b/>
        <sz val="10"/>
        <color indexed="8"/>
        <rFont val="한컴돋움"/>
        <family val="1"/>
        <charset val="129"/>
      </rPr>
      <t>)</t>
    </r>
    <phoneticPr fontId="13" type="noConversion"/>
  </si>
  <si>
    <r>
      <t xml:space="preserve">Design Velocity Pressure ( </t>
    </r>
    <r>
      <rPr>
        <b/>
        <i/>
        <sz val="10"/>
        <color indexed="8"/>
        <rFont val="Times New Roman"/>
        <family val="1"/>
      </rPr>
      <t>q</t>
    </r>
    <r>
      <rPr>
        <b/>
        <i/>
        <vertAlign val="subscript"/>
        <sz val="10"/>
        <color indexed="8"/>
        <rFont val="Times New Roman"/>
        <family val="1"/>
      </rPr>
      <t>H</t>
    </r>
    <r>
      <rPr>
        <b/>
        <vertAlign val="subscript"/>
        <sz val="10"/>
        <color indexed="8"/>
        <rFont val="한컴돋움"/>
        <family val="1"/>
        <charset val="129"/>
      </rPr>
      <t xml:space="preserve"> </t>
    </r>
    <r>
      <rPr>
        <b/>
        <sz val="10"/>
        <color indexed="8"/>
        <rFont val="한컴돋움"/>
        <family val="1"/>
        <charset val="129"/>
      </rPr>
      <t>)</t>
    </r>
    <phoneticPr fontId="13" type="noConversion"/>
  </si>
  <si>
    <r>
      <t>N/m</t>
    </r>
    <r>
      <rPr>
        <b/>
        <vertAlign val="superscript"/>
        <sz val="9"/>
        <color indexed="8"/>
        <rFont val="한컴돋움"/>
        <family val="1"/>
        <charset val="129"/>
      </rPr>
      <t>2</t>
    </r>
    <phoneticPr fontId="13" type="noConversion"/>
  </si>
  <si>
    <t>Vertical Pressure Profile Coefficient</t>
    <phoneticPr fontId="13" type="noConversion"/>
  </si>
  <si>
    <t>Pressure (kPa)</t>
    <phoneticPr fontId="2" type="noConversion"/>
  </si>
  <si>
    <t>20m 이상</t>
    <phoneticPr fontId="2" type="noConversion"/>
  </si>
  <si>
    <t>20m 미만</t>
    <phoneticPr fontId="2" type="noConversion"/>
  </si>
  <si>
    <t>선택</t>
    <phoneticPr fontId="2" type="noConversion"/>
  </si>
  <si>
    <t>1) GENERAL</t>
    <phoneticPr fontId="2" type="noConversion"/>
  </si>
  <si>
    <t>( Module Width )</t>
    <phoneticPr fontId="2" type="noConversion"/>
  </si>
  <si>
    <t>( Module Height )</t>
    <phoneticPr fontId="2" type="noConversion"/>
  </si>
  <si>
    <t>W.L</t>
    <phoneticPr fontId="2" type="noConversion"/>
  </si>
  <si>
    <t>( Design Wind Load )</t>
    <phoneticPr fontId="2" type="noConversion"/>
  </si>
  <si>
    <t>Ratio</t>
    <phoneticPr fontId="3" type="noConversion"/>
  </si>
  <si>
    <r>
      <t>S</t>
    </r>
    <r>
      <rPr>
        <b/>
        <i/>
        <vertAlign val="subscript"/>
        <sz val="8"/>
        <rFont val="Times New Roman"/>
        <family val="1"/>
      </rPr>
      <t>Y</t>
    </r>
    <phoneticPr fontId="2" type="noConversion"/>
  </si>
  <si>
    <r>
      <t>S</t>
    </r>
    <r>
      <rPr>
        <b/>
        <i/>
        <vertAlign val="subscript"/>
        <sz val="8"/>
        <rFont val="Times New Roman"/>
        <family val="1"/>
      </rPr>
      <t>X</t>
    </r>
    <phoneticPr fontId="2" type="noConversion"/>
  </si>
  <si>
    <r>
      <t>E</t>
    </r>
    <r>
      <rPr>
        <b/>
        <i/>
        <vertAlign val="subscript"/>
        <sz val="8"/>
        <rFont val="Times New Roman"/>
        <family val="1"/>
      </rPr>
      <t>STEEL</t>
    </r>
    <phoneticPr fontId="2" type="noConversion"/>
  </si>
  <si>
    <t>( Modulus of Elasticity )</t>
    <phoneticPr fontId="2" type="noConversion"/>
  </si>
  <si>
    <r>
      <t>G</t>
    </r>
    <r>
      <rPr>
        <b/>
        <i/>
        <vertAlign val="subscript"/>
        <sz val="8"/>
        <rFont val="Times New Roman"/>
        <family val="1"/>
      </rPr>
      <t>THK.</t>
    </r>
    <phoneticPr fontId="2" type="noConversion"/>
  </si>
  <si>
    <t>mm PAIR GLASS</t>
    <phoneticPr fontId="2" type="noConversion"/>
  </si>
  <si>
    <t>( Glass Type )</t>
    <phoneticPr fontId="2" type="noConversion"/>
  </si>
  <si>
    <t>S.P.</t>
    <phoneticPr fontId="2" type="noConversion"/>
  </si>
  <si>
    <t>Point from End</t>
    <phoneticPr fontId="2" type="noConversion"/>
  </si>
  <si>
    <t>( Setting Block Location )</t>
    <phoneticPr fontId="2" type="noConversion"/>
  </si>
  <si>
    <r>
      <t>h</t>
    </r>
    <r>
      <rPr>
        <b/>
        <i/>
        <vertAlign val="subscript"/>
        <sz val="8"/>
        <rFont val="Times New Roman"/>
        <family val="1"/>
      </rPr>
      <t>1</t>
    </r>
    <phoneticPr fontId="2" type="noConversion"/>
  </si>
  <si>
    <r>
      <t>h</t>
    </r>
    <r>
      <rPr>
        <b/>
        <i/>
        <vertAlign val="subscript"/>
        <sz val="8"/>
        <rFont val="Times New Roman"/>
        <family val="1"/>
      </rPr>
      <t>2</t>
    </r>
    <phoneticPr fontId="2" type="noConversion"/>
  </si>
  <si>
    <r>
      <t>M</t>
    </r>
    <r>
      <rPr>
        <b/>
        <i/>
        <vertAlign val="subscript"/>
        <sz val="8"/>
        <rFont val="Times New Roman"/>
        <family val="1"/>
      </rPr>
      <t>D.L</t>
    </r>
    <phoneticPr fontId="2" type="noConversion"/>
  </si>
  <si>
    <t>(P.         )</t>
    <phoneticPr fontId="2" type="noConversion"/>
  </si>
  <si>
    <t>( Max. Bending Moment )</t>
    <phoneticPr fontId="2" type="noConversion"/>
  </si>
  <si>
    <r>
      <t>M</t>
    </r>
    <r>
      <rPr>
        <b/>
        <i/>
        <vertAlign val="subscript"/>
        <sz val="8"/>
        <rFont val="Times New Roman"/>
        <family val="1"/>
      </rPr>
      <t>W.L</t>
    </r>
    <phoneticPr fontId="2" type="noConversion"/>
  </si>
  <si>
    <r>
      <t>δ</t>
    </r>
    <r>
      <rPr>
        <b/>
        <i/>
        <vertAlign val="subscript"/>
        <sz val="8"/>
        <rFont val="Times New Roman"/>
        <family val="1"/>
      </rPr>
      <t>D.L</t>
    </r>
    <phoneticPr fontId="2" type="noConversion"/>
  </si>
  <si>
    <t>( Max. Deflection )</t>
    <phoneticPr fontId="2" type="noConversion"/>
  </si>
  <si>
    <r>
      <t>δ</t>
    </r>
    <r>
      <rPr>
        <b/>
        <i/>
        <vertAlign val="subscript"/>
        <sz val="8"/>
        <rFont val="Times New Roman"/>
        <family val="1"/>
      </rPr>
      <t>W.L</t>
    </r>
    <phoneticPr fontId="2" type="noConversion"/>
  </si>
  <si>
    <t>2) SECTION PROPERTY</t>
    <phoneticPr fontId="2" type="noConversion"/>
  </si>
  <si>
    <t>Symbol</t>
    <phoneticPr fontId="2" type="noConversion"/>
  </si>
  <si>
    <t>Unit</t>
    <phoneticPr fontId="2" type="noConversion"/>
  </si>
  <si>
    <t>WINDOW  TYPE</t>
    <phoneticPr fontId="2" type="noConversion"/>
  </si>
  <si>
    <r>
      <t>( mm</t>
    </r>
    <r>
      <rPr>
        <b/>
        <vertAlign val="superscript"/>
        <sz val="8"/>
        <rFont val="한컴돋움"/>
        <family val="1"/>
        <charset val="129"/>
      </rPr>
      <t>2</t>
    </r>
    <r>
      <rPr>
        <b/>
        <sz val="8"/>
        <rFont val="한컴돋움"/>
        <family val="1"/>
        <charset val="129"/>
      </rPr>
      <t xml:space="preserve"> )</t>
    </r>
    <phoneticPr fontId="2" type="noConversion"/>
  </si>
  <si>
    <t>FIX</t>
  </si>
  <si>
    <t>WINDOW</t>
    <phoneticPr fontId="2" type="noConversion"/>
  </si>
  <si>
    <r>
      <t>I</t>
    </r>
    <r>
      <rPr>
        <b/>
        <i/>
        <vertAlign val="subscript"/>
        <sz val="8"/>
        <rFont val="Times New Roman"/>
        <family val="1"/>
      </rPr>
      <t>X</t>
    </r>
    <phoneticPr fontId="2" type="noConversion"/>
  </si>
  <si>
    <r>
      <t>( mm</t>
    </r>
    <r>
      <rPr>
        <b/>
        <vertAlign val="superscript"/>
        <sz val="8"/>
        <rFont val="한컴돋움"/>
        <family val="1"/>
        <charset val="129"/>
      </rPr>
      <t>4</t>
    </r>
    <r>
      <rPr>
        <b/>
        <sz val="8"/>
        <rFont val="한컴돋움"/>
        <family val="1"/>
        <charset val="129"/>
      </rPr>
      <t xml:space="preserve"> )</t>
    </r>
    <phoneticPr fontId="2" type="noConversion"/>
  </si>
  <si>
    <r>
      <t>I</t>
    </r>
    <r>
      <rPr>
        <b/>
        <i/>
        <vertAlign val="subscript"/>
        <sz val="8"/>
        <rFont val="Times New Roman"/>
        <family val="1"/>
      </rPr>
      <t>Y</t>
    </r>
    <phoneticPr fontId="2" type="noConversion"/>
  </si>
  <si>
    <t>x</t>
    <phoneticPr fontId="2" type="noConversion"/>
  </si>
  <si>
    <t>( mm )</t>
    <phoneticPr fontId="2" type="noConversion"/>
  </si>
  <si>
    <t>( Distance from Neutral Axis )</t>
    <phoneticPr fontId="2" type="noConversion"/>
  </si>
  <si>
    <t>y</t>
    <phoneticPr fontId="2" type="noConversion"/>
  </si>
  <si>
    <r>
      <t>( mm</t>
    </r>
    <r>
      <rPr>
        <b/>
        <vertAlign val="superscript"/>
        <sz val="8"/>
        <rFont val="한컴돋움"/>
        <family val="1"/>
        <charset val="129"/>
      </rPr>
      <t>3</t>
    </r>
    <r>
      <rPr>
        <b/>
        <sz val="8"/>
        <rFont val="한컴돋움"/>
        <family val="1"/>
        <charset val="129"/>
      </rPr>
      <t xml:space="preserve"> )</t>
    </r>
    <phoneticPr fontId="2" type="noConversion"/>
  </si>
  <si>
    <t>( Elastic Section Modulus )</t>
    <phoneticPr fontId="2" type="noConversion"/>
  </si>
  <si>
    <t>Result ( MPa )</t>
    <phoneticPr fontId="2" type="noConversion"/>
  </si>
  <si>
    <t>Actual</t>
    <phoneticPr fontId="2" type="noConversion"/>
  </si>
  <si>
    <t>Allowable</t>
    <phoneticPr fontId="2" type="noConversion"/>
  </si>
  <si>
    <t>Ratio</t>
    <phoneticPr fontId="2" type="noConversion"/>
  </si>
  <si>
    <r>
      <t xml:space="preserve">Stress </t>
    </r>
    <r>
      <rPr>
        <b/>
        <i/>
        <sz val="8"/>
        <rFont val="Times New Roman"/>
        <family val="1"/>
      </rPr>
      <t>(σ)</t>
    </r>
    <phoneticPr fontId="2" type="noConversion"/>
  </si>
  <si>
    <t>D.L</t>
    <phoneticPr fontId="2" type="noConversion"/>
  </si>
  <si>
    <t>Comb.</t>
    <phoneticPr fontId="2" type="noConversion"/>
  </si>
  <si>
    <t>D.L  +  W.L</t>
    <phoneticPr fontId="2" type="noConversion"/>
  </si>
  <si>
    <t>허용처짐 (mm)</t>
    <phoneticPr fontId="2" type="noConversion"/>
  </si>
  <si>
    <r>
      <t>Deflection</t>
    </r>
    <r>
      <rPr>
        <b/>
        <vertAlign val="subscript"/>
        <sz val="8"/>
        <rFont val="한컴돋움"/>
        <family val="1"/>
        <charset val="129"/>
      </rPr>
      <t xml:space="preserve"> </t>
    </r>
    <r>
      <rPr>
        <b/>
        <i/>
        <sz val="8"/>
        <rFont val="Times New Roman"/>
        <family val="1"/>
      </rPr>
      <t>(δ)</t>
    </r>
    <phoneticPr fontId="2" type="noConversion"/>
  </si>
  <si>
    <t>OPEN</t>
    <phoneticPr fontId="2" type="noConversion"/>
  </si>
  <si>
    <t>FIX</t>
    <phoneticPr fontId="2" type="noConversion"/>
  </si>
  <si>
    <t>.</t>
    <phoneticPr fontId="2" type="noConversion"/>
  </si>
  <si>
    <t>3) FRAME ANALYSIS</t>
    <phoneticPr fontId="3" type="noConversion"/>
  </si>
  <si>
    <t xml:space="preserve">(1) FOR DEAD LOAD </t>
    <phoneticPr fontId="3" type="noConversion"/>
  </si>
  <si>
    <t>( GLASS )</t>
    <phoneticPr fontId="2" type="noConversion"/>
  </si>
  <si>
    <t>·  Simply Supported Beam W/ Two Equal Concentrated Forces @ Sym. Distance</t>
    <phoneticPr fontId="3" type="noConversion"/>
  </si>
  <si>
    <t xml:space="preserve">( STEEL. ) </t>
    <phoneticPr fontId="2" type="noConversion"/>
  </si>
  <si>
    <t>·  Simply Supported Beam W/ Uniformly Distributed Load</t>
    <phoneticPr fontId="3" type="noConversion"/>
  </si>
  <si>
    <t xml:space="preserve">          ( GLASS : Concentrared Forces )</t>
    <phoneticPr fontId="2" type="noConversion"/>
  </si>
  <si>
    <t>( STEEL. : Uniform Loads )</t>
    <phoneticPr fontId="2" type="noConversion"/>
  </si>
  <si>
    <t>-. INPUT DATA</t>
    <phoneticPr fontId="3" type="noConversion"/>
  </si>
  <si>
    <t>g  =</t>
    <phoneticPr fontId="2" type="noConversion"/>
  </si>
  <si>
    <t>GLASS   :</t>
    <phoneticPr fontId="2" type="noConversion"/>
  </si>
  <si>
    <t>ALUM.   :</t>
    <phoneticPr fontId="2" type="noConversion"/>
  </si>
  <si>
    <t>( GLASS WEIGHT )</t>
    <phoneticPr fontId="2" type="noConversion"/>
  </si>
  <si>
    <t>STEEL   :</t>
    <phoneticPr fontId="2" type="noConversion"/>
  </si>
  <si>
    <t>Weight</t>
    <phoneticPr fontId="2" type="noConversion"/>
  </si>
  <si>
    <t>AREA   :</t>
    <phoneticPr fontId="2" type="noConversion"/>
  </si>
  <si>
    <t>( STEEL. WEIGHT )</t>
    <phoneticPr fontId="2" type="noConversion"/>
  </si>
  <si>
    <t>WEIGHT   :</t>
    <phoneticPr fontId="2" type="noConversion"/>
  </si>
  <si>
    <t>Weight  /  L</t>
    <phoneticPr fontId="2" type="noConversion"/>
  </si>
  <si>
    <t>유리두께(t)</t>
    <phoneticPr fontId="2" type="noConversion"/>
  </si>
  <si>
    <t>순유리두께(mm)</t>
    <phoneticPr fontId="2" type="noConversion"/>
  </si>
  <si>
    <t>두께구성</t>
    <phoneticPr fontId="2" type="noConversion"/>
  </si>
  <si>
    <t>무게 (N/m²)</t>
    <phoneticPr fontId="2" type="noConversion"/>
  </si>
  <si>
    <t>(kgf/m²)</t>
    <phoneticPr fontId="2" type="noConversion"/>
  </si>
  <si>
    <t>-. FORMULARS TO CALCULATION  /  OUTPUT DATA</t>
  </si>
  <si>
    <t>3+6A+3</t>
    <phoneticPr fontId="2" type="noConversion"/>
  </si>
  <si>
    <t>5+6A+5</t>
    <phoneticPr fontId="2" type="noConversion"/>
  </si>
  <si>
    <t>5+12A+5</t>
    <phoneticPr fontId="2" type="noConversion"/>
  </si>
  <si>
    <t>6+12A+6</t>
    <phoneticPr fontId="2" type="noConversion"/>
  </si>
  <si>
    <t>8+12A+8</t>
    <phoneticPr fontId="2" type="noConversion"/>
  </si>
  <si>
    <t xml:space="preserve">(2) FOR WIND LOAD </t>
    <phoneticPr fontId="3" type="noConversion"/>
  </si>
  <si>
    <t>결 과   :</t>
    <phoneticPr fontId="2" type="noConversion"/>
  </si>
  <si>
    <t>( UPPER )</t>
    <phoneticPr fontId="2" type="noConversion"/>
  </si>
  <si>
    <t xml:space="preserve">( BOTTOM ) </t>
    <phoneticPr fontId="2" type="noConversion"/>
  </si>
  <si>
    <t>·  Simpley Supported Beam W/ Distributed Load Increasing Toward Center</t>
    <phoneticPr fontId="2" type="noConversion"/>
  </si>
  <si>
    <t>·  Simpley Supported Beam W/ Uniformly Distributed Load, Decreasing @ Both Eeds</t>
    <phoneticPr fontId="2" type="noConversion"/>
  </si>
  <si>
    <t>(1) FOR DEAD LOAD</t>
    <phoneticPr fontId="2" type="noConversion"/>
  </si>
  <si>
    <t>UNIT (N, kN)</t>
    <phoneticPr fontId="2" type="noConversion"/>
  </si>
  <si>
    <t>(2) FOR WIND LOAD</t>
    <phoneticPr fontId="2" type="noConversion"/>
  </si>
  <si>
    <t>&lt; AAMA MCWM-1-89 &gt;</t>
    <phoneticPr fontId="2" type="noConversion"/>
  </si>
  <si>
    <t>( 1 / 16" : Open Window )</t>
    <phoneticPr fontId="2" type="noConversion"/>
  </si>
  <si>
    <t>( 1 / 8" : Fix Window )</t>
    <phoneticPr fontId="2" type="noConversion"/>
  </si>
  <si>
    <t>OPEN</t>
  </si>
  <si>
    <t>B.5.4.2</t>
  </si>
  <si>
    <t>B.5.5.1</t>
  </si>
  <si>
    <t>=</t>
    <phoneticPr fontId="3" type="noConversion"/>
  </si>
  <si>
    <t xml:space="preserve">mm </t>
    <phoneticPr fontId="3" type="noConversion"/>
  </si>
  <si>
    <r>
      <t>N/mm</t>
    </r>
    <r>
      <rPr>
        <b/>
        <vertAlign val="superscript"/>
        <sz val="8"/>
        <rFont val="한컴돋움"/>
        <family val="1"/>
        <charset val="129"/>
      </rPr>
      <t>2</t>
    </r>
  </si>
  <si>
    <t>MODELING</t>
  </si>
  <si>
    <t>시트/모델링</t>
  </si>
  <si>
    <t>mm</t>
  </si>
  <si>
    <t>SS 275  Yield Strength</t>
  </si>
  <si>
    <r>
      <t>0.66 * F</t>
    </r>
    <r>
      <rPr>
        <b/>
        <i/>
        <vertAlign val="subscript"/>
        <sz val="9"/>
        <rFont val="Times New Roman"/>
        <family val="1"/>
      </rPr>
      <t>y</t>
    </r>
  </si>
  <si>
    <r>
      <t>A</t>
    </r>
    <r>
      <rPr>
        <b/>
        <i/>
        <vertAlign val="subscript"/>
        <sz val="9"/>
        <rFont val="Times New Roman"/>
        <family val="1"/>
      </rPr>
      <t>SUM</t>
    </r>
  </si>
  <si>
    <t>1) GENERAL</t>
    <phoneticPr fontId="3" type="noConversion"/>
  </si>
  <si>
    <t>W.L</t>
    <phoneticPr fontId="3" type="noConversion"/>
  </si>
  <si>
    <t>kPa</t>
    <phoneticPr fontId="3" type="noConversion"/>
  </si>
  <si>
    <t>( Design Wind Load )</t>
    <phoneticPr fontId="3" type="noConversion"/>
  </si>
  <si>
    <r>
      <t>E</t>
    </r>
    <r>
      <rPr>
        <b/>
        <i/>
        <vertAlign val="subscript"/>
        <sz val="8"/>
        <rFont val="Times New Roman"/>
        <family val="1"/>
      </rPr>
      <t>ALUM.</t>
    </r>
  </si>
  <si>
    <t>MPa</t>
    <phoneticPr fontId="3" type="noConversion"/>
  </si>
  <si>
    <t>( 6063 - T</t>
    <phoneticPr fontId="3" type="noConversion"/>
  </si>
  <si>
    <t>( Modulus of Elasticity , Alloy &amp; Temper)</t>
    <phoneticPr fontId="3" type="noConversion"/>
  </si>
  <si>
    <r>
      <t>G</t>
    </r>
    <r>
      <rPr>
        <b/>
        <i/>
        <vertAlign val="subscript"/>
        <sz val="8"/>
        <rFont val="Times New Roman"/>
        <family val="1"/>
      </rPr>
      <t>THK.</t>
    </r>
  </si>
  <si>
    <t>mm PAIR GLASS</t>
    <phoneticPr fontId="3" type="noConversion"/>
  </si>
  <si>
    <t>( Glass Type )</t>
    <phoneticPr fontId="3" type="noConversion"/>
  </si>
  <si>
    <t>S.P.</t>
    <phoneticPr fontId="3" type="noConversion"/>
  </si>
  <si>
    <t>Point from End</t>
    <phoneticPr fontId="3" type="noConversion"/>
  </si>
  <si>
    <t>( Setting Block Location )</t>
    <phoneticPr fontId="3" type="noConversion"/>
  </si>
  <si>
    <t>W</t>
    <phoneticPr fontId="3" type="noConversion"/>
  </si>
  <si>
    <t>( Module Width )</t>
    <phoneticPr fontId="3" type="noConversion"/>
  </si>
  <si>
    <r>
      <t>h</t>
    </r>
    <r>
      <rPr>
        <b/>
        <i/>
        <vertAlign val="subscript"/>
        <sz val="8"/>
        <rFont val="Times New Roman"/>
        <family val="1"/>
      </rPr>
      <t>1</t>
    </r>
  </si>
  <si>
    <t>( Module Height )</t>
    <phoneticPr fontId="3" type="noConversion"/>
  </si>
  <si>
    <r>
      <t>h</t>
    </r>
    <r>
      <rPr>
        <b/>
        <i/>
        <vertAlign val="subscript"/>
        <sz val="8"/>
        <rFont val="Times New Roman"/>
        <family val="1"/>
      </rPr>
      <t>2</t>
    </r>
  </si>
  <si>
    <r>
      <t>M</t>
    </r>
    <r>
      <rPr>
        <b/>
        <i/>
        <vertAlign val="subscript"/>
        <sz val="8"/>
        <rFont val="Times New Roman"/>
        <family val="1"/>
      </rPr>
      <t>D.L</t>
    </r>
  </si>
  <si>
    <t>(P.         )</t>
    <phoneticPr fontId="3" type="noConversion"/>
  </si>
  <si>
    <t>( Max. Bending Moment )</t>
    <phoneticPr fontId="3" type="noConversion"/>
  </si>
  <si>
    <r>
      <t>M</t>
    </r>
    <r>
      <rPr>
        <b/>
        <i/>
        <vertAlign val="subscript"/>
        <sz val="8"/>
        <rFont val="Times New Roman"/>
        <family val="1"/>
      </rPr>
      <t>W.L</t>
    </r>
  </si>
  <si>
    <r>
      <t>δ</t>
    </r>
    <r>
      <rPr>
        <b/>
        <i/>
        <vertAlign val="subscript"/>
        <sz val="8"/>
        <rFont val="Times New Roman"/>
        <family val="1"/>
      </rPr>
      <t>D.L</t>
    </r>
  </si>
  <si>
    <t>( Max. Deflection )</t>
    <phoneticPr fontId="3" type="noConversion"/>
  </si>
  <si>
    <r>
      <t>δ</t>
    </r>
    <r>
      <rPr>
        <b/>
        <i/>
        <vertAlign val="subscript"/>
        <sz val="8"/>
        <rFont val="Times New Roman"/>
        <family val="1"/>
      </rPr>
      <t>W.L</t>
    </r>
  </si>
  <si>
    <t>2) SECTION PROPERTY</t>
    <phoneticPr fontId="3" type="noConversion"/>
  </si>
  <si>
    <t>Symbol</t>
    <phoneticPr fontId="3" type="noConversion"/>
  </si>
  <si>
    <t>Unit</t>
    <phoneticPr fontId="3" type="noConversion"/>
  </si>
  <si>
    <t>Alum.</t>
    <phoneticPr fontId="3" type="noConversion"/>
  </si>
  <si>
    <t>WINDOW  TYPE</t>
    <phoneticPr fontId="3" type="noConversion"/>
  </si>
  <si>
    <t>A</t>
    <phoneticPr fontId="3" type="noConversion"/>
  </si>
  <si>
    <r>
      <t>( mm</t>
    </r>
    <r>
      <rPr>
        <b/>
        <vertAlign val="superscript"/>
        <sz val="8"/>
        <rFont val="한컴돋움"/>
        <family val="1"/>
        <charset val="129"/>
      </rPr>
      <t>2</t>
    </r>
    <r>
      <rPr>
        <b/>
        <sz val="8"/>
        <rFont val="한컴돋움"/>
        <family val="1"/>
        <charset val="129"/>
      </rPr>
      <t xml:space="preserve"> )</t>
    </r>
  </si>
  <si>
    <t>WINDOW</t>
    <phoneticPr fontId="3" type="noConversion"/>
  </si>
  <si>
    <r>
      <t>I</t>
    </r>
    <r>
      <rPr>
        <b/>
        <i/>
        <vertAlign val="subscript"/>
        <sz val="8"/>
        <rFont val="Times New Roman"/>
        <family val="1"/>
      </rPr>
      <t>X</t>
    </r>
  </si>
  <si>
    <r>
      <t>( mm</t>
    </r>
    <r>
      <rPr>
        <b/>
        <vertAlign val="superscript"/>
        <sz val="8"/>
        <rFont val="한컴돋움"/>
        <family val="1"/>
        <charset val="129"/>
      </rPr>
      <t>4</t>
    </r>
    <r>
      <rPr>
        <b/>
        <sz val="8"/>
        <rFont val="한컴돋움"/>
        <family val="1"/>
        <charset val="129"/>
      </rPr>
      <t xml:space="preserve"> )</t>
    </r>
  </si>
  <si>
    <r>
      <t>I</t>
    </r>
    <r>
      <rPr>
        <b/>
        <i/>
        <vertAlign val="subscript"/>
        <sz val="8"/>
        <rFont val="Times New Roman"/>
        <family val="1"/>
      </rPr>
      <t>Y</t>
    </r>
  </si>
  <si>
    <t>x</t>
    <phoneticPr fontId="3" type="noConversion"/>
  </si>
  <si>
    <t>( mm )</t>
    <phoneticPr fontId="3" type="noConversion"/>
  </si>
  <si>
    <t>( Distance from Neutral Axis )</t>
    <phoneticPr fontId="3" type="noConversion"/>
  </si>
  <si>
    <t>y</t>
    <phoneticPr fontId="3" type="noConversion"/>
  </si>
  <si>
    <r>
      <t>S</t>
    </r>
    <r>
      <rPr>
        <b/>
        <i/>
        <vertAlign val="subscript"/>
        <sz val="8"/>
        <rFont val="Times New Roman"/>
        <family val="1"/>
      </rPr>
      <t>X</t>
    </r>
  </si>
  <si>
    <r>
      <t>( mm</t>
    </r>
    <r>
      <rPr>
        <b/>
        <vertAlign val="superscript"/>
        <sz val="8"/>
        <rFont val="한컴돋움"/>
        <family val="1"/>
        <charset val="129"/>
      </rPr>
      <t>3</t>
    </r>
    <r>
      <rPr>
        <b/>
        <sz val="8"/>
        <rFont val="한컴돋움"/>
        <family val="1"/>
        <charset val="129"/>
      </rPr>
      <t xml:space="preserve"> )</t>
    </r>
  </si>
  <si>
    <t>( Elastic Section Modulus )</t>
    <phoneticPr fontId="3" type="noConversion"/>
  </si>
  <si>
    <r>
      <t>S</t>
    </r>
    <r>
      <rPr>
        <b/>
        <i/>
        <vertAlign val="subscript"/>
        <sz val="8"/>
        <rFont val="Times New Roman"/>
        <family val="1"/>
      </rPr>
      <t>Y</t>
    </r>
  </si>
  <si>
    <t>J</t>
    <phoneticPr fontId="3" type="noConversion"/>
  </si>
  <si>
    <t>( Torsion Constant )</t>
    <phoneticPr fontId="3" type="noConversion"/>
  </si>
  <si>
    <r>
      <rPr>
        <b/>
        <i/>
        <sz val="8"/>
        <rFont val="Times New Roman"/>
        <family val="1"/>
      </rPr>
      <t>J</t>
    </r>
    <r>
      <rPr>
        <b/>
        <sz val="8"/>
        <rFont val="Times New Roman"/>
        <family val="1"/>
      </rPr>
      <t xml:space="preserve"> - </t>
    </r>
    <r>
      <rPr>
        <b/>
        <sz val="8"/>
        <rFont val="한컴돋움"/>
        <family val="1"/>
        <charset val="129"/>
      </rPr>
      <t>Cross Section Notation (mm)</t>
    </r>
  </si>
  <si>
    <t>Check Stress (mm)</t>
    <phoneticPr fontId="3" type="noConversion"/>
  </si>
  <si>
    <t>a</t>
    <phoneticPr fontId="3" type="noConversion"/>
  </si>
  <si>
    <t># SPEC</t>
    <phoneticPr fontId="3" type="noConversion"/>
  </si>
  <si>
    <t>t</t>
    <phoneticPr fontId="3" type="noConversion"/>
  </si>
  <si>
    <t>b , h</t>
    <phoneticPr fontId="3" type="noConversion"/>
  </si>
  <si>
    <t>b</t>
    <phoneticPr fontId="3" type="noConversion"/>
  </si>
  <si>
    <t xml:space="preserve">F.3.1   </t>
    <phoneticPr fontId="3" type="noConversion"/>
  </si>
  <si>
    <t>*</t>
    <phoneticPr fontId="3" type="noConversion"/>
  </si>
  <si>
    <t>#. 14</t>
    <phoneticPr fontId="3" type="noConversion"/>
  </si>
  <si>
    <r>
      <t>t</t>
    </r>
    <r>
      <rPr>
        <b/>
        <i/>
        <vertAlign val="subscript"/>
        <sz val="8"/>
        <rFont val="Times New Roman"/>
        <family val="1"/>
      </rPr>
      <t>1</t>
    </r>
  </si>
  <si>
    <t>#. 16</t>
    <phoneticPr fontId="3" type="noConversion"/>
  </si>
  <si>
    <r>
      <t>t</t>
    </r>
    <r>
      <rPr>
        <b/>
        <i/>
        <vertAlign val="subscript"/>
        <sz val="8"/>
        <rFont val="Times New Roman"/>
        <family val="1"/>
      </rPr>
      <t>2</t>
    </r>
  </si>
  <si>
    <t>#. 18</t>
    <phoneticPr fontId="3" type="noConversion"/>
  </si>
  <si>
    <t>Result ( MPa )</t>
    <phoneticPr fontId="3" type="noConversion"/>
  </si>
  <si>
    <t>Actual</t>
    <phoneticPr fontId="3" type="noConversion"/>
  </si>
  <si>
    <t>Allowable</t>
    <phoneticPr fontId="3" type="noConversion"/>
  </si>
  <si>
    <r>
      <t xml:space="preserve">Stress </t>
    </r>
    <r>
      <rPr>
        <b/>
        <i/>
        <sz val="8"/>
        <rFont val="Times New Roman"/>
        <family val="1"/>
      </rPr>
      <t>(σ)</t>
    </r>
  </si>
  <si>
    <t>D.L</t>
    <phoneticPr fontId="3" type="noConversion"/>
  </si>
  <si>
    <t>Comb.</t>
    <phoneticPr fontId="3" type="noConversion"/>
  </si>
  <si>
    <t>D.L  +  W.L</t>
    <phoneticPr fontId="3" type="noConversion"/>
  </si>
  <si>
    <t>허용처짐 (mm)</t>
    <phoneticPr fontId="3" type="noConversion"/>
  </si>
  <si>
    <r>
      <t>Deflection</t>
    </r>
    <r>
      <rPr>
        <b/>
        <vertAlign val="subscript"/>
        <sz val="8"/>
        <rFont val="한컴돋움"/>
        <family val="1"/>
        <charset val="129"/>
      </rPr>
      <t xml:space="preserve"> </t>
    </r>
    <r>
      <rPr>
        <b/>
        <i/>
        <sz val="8"/>
        <rFont val="Times New Roman"/>
        <family val="1"/>
      </rPr>
      <t>(δ)</t>
    </r>
  </si>
  <si>
    <t>OPEN</t>
    <phoneticPr fontId="3" type="noConversion"/>
  </si>
  <si>
    <t>FIX</t>
    <phoneticPr fontId="3" type="noConversion"/>
  </si>
  <si>
    <t>.</t>
    <phoneticPr fontId="3" type="noConversion"/>
  </si>
  <si>
    <t>3) FRAME ANALYSIS</t>
    <phoneticPr fontId="4" type="noConversion"/>
  </si>
  <si>
    <t xml:space="preserve">(1) FOR DEAD LOAD </t>
    <phoneticPr fontId="4" type="noConversion"/>
  </si>
  <si>
    <t>( GLASS )</t>
    <phoneticPr fontId="3" type="noConversion"/>
  </si>
  <si>
    <t>·  Simply Supported Beam W/ Two Equal Concentrated Forces @ Sym. Distance</t>
    <phoneticPr fontId="4" type="noConversion"/>
  </si>
  <si>
    <t xml:space="preserve">( ALUM. ) </t>
    <phoneticPr fontId="3" type="noConversion"/>
  </si>
  <si>
    <t>·  Simply Supported Beam W/ Uniformly Distributed Load</t>
    <phoneticPr fontId="4" type="noConversion"/>
  </si>
  <si>
    <t xml:space="preserve">          ( GLASS : Concentrared Forces )</t>
    <phoneticPr fontId="3" type="noConversion"/>
  </si>
  <si>
    <t>( ALUM. : Uniform Loads )</t>
    <phoneticPr fontId="3" type="noConversion"/>
  </si>
  <si>
    <t>-. INPUT DATA</t>
    <phoneticPr fontId="4" type="noConversion"/>
  </si>
  <si>
    <t>g  =</t>
    <phoneticPr fontId="3" type="noConversion"/>
  </si>
  <si>
    <t>GLASS   :</t>
    <phoneticPr fontId="3" type="noConversion"/>
  </si>
  <si>
    <r>
      <t>N/mm</t>
    </r>
    <r>
      <rPr>
        <b/>
        <vertAlign val="superscript"/>
        <sz val="8"/>
        <rFont val="한컴돋움"/>
        <family val="1"/>
        <charset val="129"/>
      </rPr>
      <t xml:space="preserve">3 </t>
    </r>
    <r>
      <rPr>
        <b/>
        <sz val="12"/>
        <rFont val="한컴바탕"/>
        <family val="1"/>
        <charset val="129"/>
      </rPr>
      <t/>
    </r>
  </si>
  <si>
    <r>
      <t>kgf/m</t>
    </r>
    <r>
      <rPr>
        <b/>
        <vertAlign val="superscript"/>
        <sz val="8"/>
        <rFont val="한컴돋움"/>
        <family val="1"/>
        <charset val="129"/>
      </rPr>
      <t xml:space="preserve">3 </t>
    </r>
    <r>
      <rPr>
        <b/>
        <sz val="12"/>
        <rFont val="한컴바탕"/>
        <family val="1"/>
        <charset val="129"/>
      </rPr>
      <t/>
    </r>
  </si>
  <si>
    <t>L</t>
    <phoneticPr fontId="3" type="noConversion"/>
  </si>
  <si>
    <t>P</t>
    <phoneticPr fontId="3" type="noConversion"/>
  </si>
  <si>
    <t>N</t>
    <phoneticPr fontId="3" type="noConversion"/>
  </si>
  <si>
    <t>ALUM.   :</t>
    <phoneticPr fontId="3" type="noConversion"/>
  </si>
  <si>
    <t>H</t>
    <phoneticPr fontId="3" type="noConversion"/>
  </si>
  <si>
    <t>( GLASS WEIGHT )</t>
    <phoneticPr fontId="3" type="noConversion"/>
  </si>
  <si>
    <t>STEEL   :</t>
    <phoneticPr fontId="3" type="noConversion"/>
  </si>
  <si>
    <t>Weight</t>
    <phoneticPr fontId="3" type="noConversion"/>
  </si>
  <si>
    <t>AREA   :</t>
    <phoneticPr fontId="3" type="noConversion"/>
  </si>
  <si>
    <r>
      <t>mm</t>
    </r>
    <r>
      <rPr>
        <b/>
        <vertAlign val="superscript"/>
        <sz val="8"/>
        <rFont val="한컴돋움"/>
        <family val="1"/>
        <charset val="129"/>
      </rPr>
      <t>2</t>
    </r>
  </si>
  <si>
    <t>( ALUM. WEIGHT )</t>
    <phoneticPr fontId="3" type="noConversion"/>
  </si>
  <si>
    <t>WEIGHT   :</t>
    <phoneticPr fontId="3" type="noConversion"/>
  </si>
  <si>
    <r>
      <t>mm</t>
    </r>
    <r>
      <rPr>
        <b/>
        <vertAlign val="superscript"/>
        <sz val="8"/>
        <rFont val="한컴돋움"/>
        <family val="1"/>
        <charset val="129"/>
      </rPr>
      <t>4</t>
    </r>
  </si>
  <si>
    <t>w</t>
    <phoneticPr fontId="3" type="noConversion"/>
  </si>
  <si>
    <t>Weight  /  L</t>
    <phoneticPr fontId="3" type="noConversion"/>
  </si>
  <si>
    <r>
      <t>N/mm</t>
    </r>
    <r>
      <rPr>
        <b/>
        <vertAlign val="superscript"/>
        <sz val="8"/>
        <rFont val="한컴돋움"/>
        <family val="1"/>
        <charset val="129"/>
      </rPr>
      <t xml:space="preserve"> </t>
    </r>
  </si>
  <si>
    <t>유리두께(t)</t>
    <phoneticPr fontId="3" type="noConversion"/>
  </si>
  <si>
    <t>순유리두께(mm)</t>
    <phoneticPr fontId="3" type="noConversion"/>
  </si>
  <si>
    <t>두께구성</t>
    <phoneticPr fontId="3" type="noConversion"/>
  </si>
  <si>
    <t>무게 (N/m²)</t>
    <phoneticPr fontId="3" type="noConversion"/>
  </si>
  <si>
    <t>(kgf/m²)</t>
    <phoneticPr fontId="3" type="noConversion"/>
  </si>
  <si>
    <t>3+6A+3</t>
    <phoneticPr fontId="3" type="noConversion"/>
  </si>
  <si>
    <t>5+6A+5</t>
    <phoneticPr fontId="3" type="noConversion"/>
  </si>
  <si>
    <r>
      <t>R</t>
    </r>
    <r>
      <rPr>
        <b/>
        <i/>
        <vertAlign val="subscript"/>
        <sz val="8"/>
        <rFont val="Times New Roman"/>
        <family val="1"/>
      </rPr>
      <t>A1</t>
    </r>
  </si>
  <si>
    <r>
      <t>R</t>
    </r>
    <r>
      <rPr>
        <b/>
        <i/>
        <vertAlign val="subscript"/>
        <sz val="8"/>
        <rFont val="Times New Roman"/>
        <family val="1"/>
      </rPr>
      <t>B1</t>
    </r>
  </si>
  <si>
    <r>
      <t>R</t>
    </r>
    <r>
      <rPr>
        <b/>
        <i/>
        <vertAlign val="subscript"/>
        <sz val="8"/>
        <rFont val="Times New Roman"/>
        <family val="1"/>
      </rPr>
      <t>A2</t>
    </r>
  </si>
  <si>
    <r>
      <t>R</t>
    </r>
    <r>
      <rPr>
        <b/>
        <i/>
        <vertAlign val="subscript"/>
        <sz val="8"/>
        <rFont val="Times New Roman"/>
        <family val="1"/>
      </rPr>
      <t>B2</t>
    </r>
  </si>
  <si>
    <t>6+6A+6</t>
    <phoneticPr fontId="3" type="noConversion"/>
  </si>
  <si>
    <r>
      <t xml:space="preserve">( w </t>
    </r>
    <r>
      <rPr>
        <b/>
        <sz val="8"/>
        <rFont val="바탕"/>
        <family val="1"/>
        <charset val="129"/>
      </rPr>
      <t>×</t>
    </r>
    <r>
      <rPr>
        <b/>
        <i/>
        <sz val="8"/>
        <rFont val="Times New Roman"/>
        <family val="1"/>
      </rPr>
      <t xml:space="preserve"> L ) / 2</t>
    </r>
  </si>
  <si>
    <t>5+12A+5</t>
    <phoneticPr fontId="3" type="noConversion"/>
  </si>
  <si>
    <t>6+12A+6</t>
    <phoneticPr fontId="3" type="noConversion"/>
  </si>
  <si>
    <t>8+12A+8</t>
    <phoneticPr fontId="3" type="noConversion"/>
  </si>
  <si>
    <r>
      <t>M</t>
    </r>
    <r>
      <rPr>
        <b/>
        <i/>
        <vertAlign val="subscript"/>
        <sz val="8"/>
        <rFont val="Times New Roman"/>
        <family val="1"/>
      </rPr>
      <t>D.L 1</t>
    </r>
  </si>
  <si>
    <r>
      <t xml:space="preserve">P </t>
    </r>
    <r>
      <rPr>
        <b/>
        <sz val="8"/>
        <rFont val="바탕"/>
        <family val="1"/>
        <charset val="129"/>
      </rPr>
      <t>×</t>
    </r>
    <r>
      <rPr>
        <b/>
        <i/>
        <sz val="8"/>
        <rFont val="Times New Roman"/>
        <family val="1"/>
      </rPr>
      <t xml:space="preserve"> a</t>
    </r>
  </si>
  <si>
    <r>
      <t>M</t>
    </r>
    <r>
      <rPr>
        <b/>
        <i/>
        <vertAlign val="subscript"/>
        <sz val="8"/>
        <rFont val="Times New Roman"/>
        <family val="1"/>
      </rPr>
      <t>D.L 2</t>
    </r>
  </si>
  <si>
    <r>
      <t xml:space="preserve">( w </t>
    </r>
    <r>
      <rPr>
        <b/>
        <sz val="8"/>
        <rFont val="바탕"/>
        <family val="1"/>
        <charset val="129"/>
      </rPr>
      <t>×</t>
    </r>
    <r>
      <rPr>
        <b/>
        <i/>
        <sz val="8"/>
        <rFont val="Times New Roman"/>
        <family val="1"/>
      </rPr>
      <t xml:space="preserve"> L</t>
    </r>
    <r>
      <rPr>
        <b/>
        <i/>
        <vertAlign val="superscript"/>
        <sz val="8"/>
        <rFont val="Times New Roman"/>
        <family val="1"/>
      </rPr>
      <t>2</t>
    </r>
    <r>
      <rPr>
        <b/>
        <i/>
        <sz val="8"/>
        <rFont val="Times New Roman"/>
        <family val="1"/>
      </rPr>
      <t xml:space="preserve"> ) / 8</t>
    </r>
  </si>
  <si>
    <t>N.mm</t>
    <phoneticPr fontId="3" type="noConversion"/>
  </si>
  <si>
    <r>
      <t>M</t>
    </r>
    <r>
      <rPr>
        <b/>
        <i/>
        <vertAlign val="subscript"/>
        <sz val="8"/>
        <rFont val="Times New Roman"/>
        <family val="1"/>
      </rPr>
      <t>D.L 1</t>
    </r>
    <r>
      <rPr>
        <b/>
        <i/>
        <sz val="8"/>
        <rFont val="Times New Roman"/>
        <family val="1"/>
      </rPr>
      <t xml:space="preserve"> +  M</t>
    </r>
    <r>
      <rPr>
        <b/>
        <i/>
        <vertAlign val="subscript"/>
        <sz val="8"/>
        <rFont val="Times New Roman"/>
        <family val="1"/>
      </rPr>
      <t>D.L 2</t>
    </r>
  </si>
  <si>
    <r>
      <t>δ</t>
    </r>
    <r>
      <rPr>
        <b/>
        <i/>
        <vertAlign val="subscript"/>
        <sz val="8"/>
        <rFont val="Times New Roman"/>
        <family val="1"/>
      </rPr>
      <t>D.L 1</t>
    </r>
  </si>
  <si>
    <r>
      <t xml:space="preserve">P </t>
    </r>
    <r>
      <rPr>
        <b/>
        <sz val="8"/>
        <rFont val="바탕"/>
        <family val="1"/>
        <charset val="129"/>
      </rPr>
      <t>×</t>
    </r>
    <r>
      <rPr>
        <b/>
        <i/>
        <sz val="8"/>
        <rFont val="Times New Roman"/>
        <family val="1"/>
      </rPr>
      <t xml:space="preserve"> a ( 3L</t>
    </r>
    <r>
      <rPr>
        <b/>
        <i/>
        <vertAlign val="superscript"/>
        <sz val="8"/>
        <rFont val="Times New Roman"/>
        <family val="1"/>
      </rPr>
      <t>2</t>
    </r>
    <r>
      <rPr>
        <b/>
        <i/>
        <sz val="8"/>
        <rFont val="Times New Roman"/>
        <family val="1"/>
      </rPr>
      <t xml:space="preserve"> - 4a</t>
    </r>
    <r>
      <rPr>
        <b/>
        <i/>
        <vertAlign val="superscript"/>
        <sz val="8"/>
        <rFont val="Times New Roman"/>
        <family val="1"/>
      </rPr>
      <t>2</t>
    </r>
    <r>
      <rPr>
        <b/>
        <i/>
        <sz val="8"/>
        <rFont val="Times New Roman"/>
        <family val="1"/>
      </rPr>
      <t xml:space="preserve"> ) / 24 EI</t>
    </r>
  </si>
  <si>
    <r>
      <t>δ</t>
    </r>
    <r>
      <rPr>
        <b/>
        <i/>
        <vertAlign val="subscript"/>
        <sz val="8"/>
        <rFont val="Times New Roman"/>
        <family val="1"/>
      </rPr>
      <t>D.L 2</t>
    </r>
  </si>
  <si>
    <r>
      <t xml:space="preserve">( 5w </t>
    </r>
    <r>
      <rPr>
        <b/>
        <sz val="8"/>
        <rFont val="바탕"/>
        <family val="1"/>
        <charset val="129"/>
      </rPr>
      <t>×</t>
    </r>
    <r>
      <rPr>
        <b/>
        <i/>
        <sz val="8"/>
        <rFont val="Times New Roman"/>
        <family val="1"/>
      </rPr>
      <t xml:space="preserve"> L</t>
    </r>
    <r>
      <rPr>
        <b/>
        <i/>
        <vertAlign val="superscript"/>
        <sz val="8"/>
        <rFont val="Times New Roman"/>
        <family val="1"/>
      </rPr>
      <t>4</t>
    </r>
    <r>
      <rPr>
        <b/>
        <i/>
        <sz val="8"/>
        <rFont val="Times New Roman"/>
        <family val="1"/>
      </rPr>
      <t xml:space="preserve"> ) / 384 EI</t>
    </r>
  </si>
  <si>
    <r>
      <t>δ</t>
    </r>
    <r>
      <rPr>
        <b/>
        <i/>
        <vertAlign val="subscript"/>
        <sz val="8"/>
        <rFont val="Times New Roman"/>
        <family val="1"/>
      </rPr>
      <t xml:space="preserve">D.L 1  </t>
    </r>
    <r>
      <rPr>
        <b/>
        <i/>
        <sz val="8"/>
        <rFont val="Times New Roman"/>
        <family val="1"/>
      </rPr>
      <t>+  δ</t>
    </r>
    <r>
      <rPr>
        <b/>
        <i/>
        <vertAlign val="subscript"/>
        <sz val="8"/>
        <rFont val="Times New Roman"/>
        <family val="1"/>
      </rPr>
      <t>D.L 2</t>
    </r>
  </si>
  <si>
    <t xml:space="preserve">(2) FOR WIND LOAD </t>
    <phoneticPr fontId="4" type="noConversion"/>
  </si>
  <si>
    <t>결 과   :</t>
    <phoneticPr fontId="3" type="noConversion"/>
  </si>
  <si>
    <t>( UPPER )</t>
    <phoneticPr fontId="3" type="noConversion"/>
  </si>
  <si>
    <t xml:space="preserve">( BOTTOM ) </t>
    <phoneticPr fontId="3" type="noConversion"/>
  </si>
  <si>
    <t>·  Simpley Supported Beam W/ Distributed Load Increasing Toward Center</t>
    <phoneticPr fontId="3" type="noConversion"/>
  </si>
  <si>
    <t>·  Simpley Supported Beam W/ Uniformly Distributed Load, Decreasing @ Both Eeds</t>
    <phoneticPr fontId="3" type="noConversion"/>
  </si>
  <si>
    <r>
      <t>w</t>
    </r>
    <r>
      <rPr>
        <b/>
        <i/>
        <vertAlign val="subscript"/>
        <sz val="8"/>
        <rFont val="Times New Roman"/>
        <family val="1"/>
      </rPr>
      <t>1</t>
    </r>
  </si>
  <si>
    <r>
      <t>w</t>
    </r>
    <r>
      <rPr>
        <b/>
        <i/>
        <vertAlign val="subscript"/>
        <sz val="8"/>
        <rFont val="Times New Roman"/>
        <family val="1"/>
      </rPr>
      <t>2</t>
    </r>
  </si>
  <si>
    <r>
      <t xml:space="preserve"> H</t>
    </r>
    <r>
      <rPr>
        <vertAlign val="subscript"/>
        <sz val="8"/>
        <rFont val="Times New Roman"/>
        <family val="1"/>
      </rPr>
      <t>1</t>
    </r>
    <r>
      <rPr>
        <sz val="8"/>
        <rFont val="Times New Roman"/>
        <family val="1"/>
      </rPr>
      <t xml:space="preserve"> </t>
    </r>
    <r>
      <rPr>
        <sz val="8"/>
        <rFont val="한컴바탕"/>
        <family val="1"/>
        <charset val="129"/>
      </rPr>
      <t>≥</t>
    </r>
    <r>
      <rPr>
        <sz val="8"/>
        <rFont val="Times New Roman"/>
        <family val="1"/>
      </rPr>
      <t xml:space="preserve"> L</t>
    </r>
  </si>
  <si>
    <r>
      <t xml:space="preserve">( W.L </t>
    </r>
    <r>
      <rPr>
        <sz val="8"/>
        <rFont val="바탕"/>
        <family val="1"/>
        <charset val="129"/>
      </rPr>
      <t>×</t>
    </r>
    <r>
      <rPr>
        <sz val="8"/>
        <rFont val="Times New Roman"/>
        <family val="1"/>
      </rPr>
      <t xml:space="preserve"> L ) / 2</t>
    </r>
  </si>
  <si>
    <r>
      <t>a</t>
    </r>
    <r>
      <rPr>
        <b/>
        <i/>
        <vertAlign val="subscript"/>
        <sz val="8"/>
        <rFont val="Times New Roman"/>
        <family val="1"/>
      </rPr>
      <t>1</t>
    </r>
  </si>
  <si>
    <r>
      <t>H</t>
    </r>
    <r>
      <rPr>
        <b/>
        <i/>
        <vertAlign val="subscript"/>
        <sz val="8"/>
        <rFont val="Times New Roman"/>
        <family val="1"/>
      </rPr>
      <t>1</t>
    </r>
    <r>
      <rPr>
        <b/>
        <i/>
        <sz val="8"/>
        <rFont val="Times New Roman"/>
        <family val="1"/>
      </rPr>
      <t xml:space="preserve"> / 2</t>
    </r>
  </si>
  <si>
    <r>
      <t>a</t>
    </r>
    <r>
      <rPr>
        <b/>
        <i/>
        <vertAlign val="subscript"/>
        <sz val="8"/>
        <rFont val="Times New Roman"/>
        <family val="1"/>
      </rPr>
      <t>2</t>
    </r>
  </si>
  <si>
    <r>
      <t>H</t>
    </r>
    <r>
      <rPr>
        <b/>
        <i/>
        <vertAlign val="subscript"/>
        <sz val="8"/>
        <rFont val="Times New Roman"/>
        <family val="1"/>
      </rPr>
      <t>2</t>
    </r>
    <r>
      <rPr>
        <b/>
        <i/>
        <sz val="8"/>
        <rFont val="Times New Roman"/>
        <family val="1"/>
      </rPr>
      <t xml:space="preserve"> / 2</t>
    </r>
  </si>
  <si>
    <r>
      <t xml:space="preserve"> H</t>
    </r>
    <r>
      <rPr>
        <vertAlign val="subscript"/>
        <sz val="8"/>
        <rFont val="Times New Roman"/>
        <family val="1"/>
      </rPr>
      <t>1</t>
    </r>
    <r>
      <rPr>
        <sz val="8"/>
        <rFont val="Times New Roman"/>
        <family val="1"/>
      </rPr>
      <t xml:space="preserve"> &lt; L</t>
    </r>
  </si>
  <si>
    <r>
      <t xml:space="preserve">W.L </t>
    </r>
    <r>
      <rPr>
        <sz val="8"/>
        <rFont val="바탕"/>
        <family val="1"/>
        <charset val="129"/>
      </rPr>
      <t>×</t>
    </r>
    <r>
      <rPr>
        <sz val="8"/>
        <rFont val="Times New Roman"/>
        <family val="1"/>
      </rPr>
      <t xml:space="preserve"> a</t>
    </r>
    <r>
      <rPr>
        <sz val="8"/>
        <rFont val="바탕"/>
        <family val="1"/>
        <charset val="129"/>
      </rPr>
      <t>₁</t>
    </r>
  </si>
  <si>
    <r>
      <t xml:space="preserve"> H</t>
    </r>
    <r>
      <rPr>
        <vertAlign val="subscript"/>
        <sz val="8"/>
        <rFont val="Times New Roman"/>
        <family val="1"/>
      </rPr>
      <t>2</t>
    </r>
    <r>
      <rPr>
        <sz val="8"/>
        <rFont val="Times New Roman"/>
        <family val="1"/>
      </rPr>
      <t xml:space="preserve"> </t>
    </r>
    <r>
      <rPr>
        <sz val="8"/>
        <rFont val="한컴바탕"/>
        <family val="1"/>
        <charset val="129"/>
      </rPr>
      <t>≥</t>
    </r>
    <r>
      <rPr>
        <sz val="8"/>
        <rFont val="Times New Roman"/>
        <family val="1"/>
      </rPr>
      <t xml:space="preserve"> L</t>
    </r>
  </si>
  <si>
    <r>
      <t xml:space="preserve"> H</t>
    </r>
    <r>
      <rPr>
        <vertAlign val="subscript"/>
        <sz val="8"/>
        <rFont val="Times New Roman"/>
        <family val="1"/>
      </rPr>
      <t>2</t>
    </r>
    <r>
      <rPr>
        <sz val="8"/>
        <rFont val="Times New Roman"/>
        <family val="1"/>
      </rPr>
      <t xml:space="preserve"> &lt; L</t>
    </r>
  </si>
  <si>
    <r>
      <t xml:space="preserve">W.L </t>
    </r>
    <r>
      <rPr>
        <sz val="8"/>
        <rFont val="바탕"/>
        <family val="1"/>
        <charset val="129"/>
      </rPr>
      <t>×</t>
    </r>
    <r>
      <rPr>
        <sz val="8"/>
        <rFont val="Times New Roman"/>
        <family val="1"/>
      </rPr>
      <t xml:space="preserve"> a</t>
    </r>
    <r>
      <rPr>
        <sz val="8"/>
        <rFont val="바탕"/>
        <family val="1"/>
        <charset val="129"/>
      </rPr>
      <t>₂</t>
    </r>
  </si>
  <si>
    <r>
      <t>( w</t>
    </r>
    <r>
      <rPr>
        <sz val="8"/>
        <rFont val="바탕"/>
        <family val="1"/>
        <charset val="129"/>
      </rPr>
      <t>₁</t>
    </r>
    <r>
      <rPr>
        <sz val="8"/>
        <rFont val="Times New Roman"/>
        <family val="1"/>
      </rPr>
      <t xml:space="preserve"> × L ) / 4</t>
    </r>
  </si>
  <si>
    <r>
      <t>w</t>
    </r>
    <r>
      <rPr>
        <sz val="8"/>
        <rFont val="바탕"/>
        <family val="1"/>
        <charset val="129"/>
      </rPr>
      <t>₁</t>
    </r>
    <r>
      <rPr>
        <sz val="8"/>
        <rFont val="Times New Roman"/>
        <family val="1"/>
      </rPr>
      <t xml:space="preserve"> ( L - a</t>
    </r>
    <r>
      <rPr>
        <vertAlign val="subscript"/>
        <sz val="8"/>
        <rFont val="바탕"/>
        <family val="1"/>
        <charset val="129"/>
      </rPr>
      <t>₁</t>
    </r>
    <r>
      <rPr>
        <sz val="8"/>
        <rFont val="Times New Roman"/>
        <family val="1"/>
      </rPr>
      <t xml:space="preserve"> ) / 2</t>
    </r>
  </si>
  <si>
    <r>
      <t>( w</t>
    </r>
    <r>
      <rPr>
        <sz val="8"/>
        <rFont val="바탕"/>
        <family val="1"/>
        <charset val="129"/>
      </rPr>
      <t>₂</t>
    </r>
    <r>
      <rPr>
        <sz val="8"/>
        <rFont val="Times New Roman"/>
        <family val="1"/>
      </rPr>
      <t xml:space="preserve"> × L ) / 4</t>
    </r>
  </si>
  <si>
    <r>
      <t>w</t>
    </r>
    <r>
      <rPr>
        <sz val="8"/>
        <rFont val="바탕"/>
        <family val="1"/>
        <charset val="129"/>
      </rPr>
      <t>₂</t>
    </r>
    <r>
      <rPr>
        <sz val="8"/>
        <rFont val="Times New Roman"/>
        <family val="1"/>
      </rPr>
      <t xml:space="preserve"> ( L - a</t>
    </r>
    <r>
      <rPr>
        <sz val="8"/>
        <rFont val="바탕"/>
        <family val="1"/>
        <charset val="129"/>
      </rPr>
      <t>₂</t>
    </r>
    <r>
      <rPr>
        <sz val="8"/>
        <rFont val="Times New Roman"/>
        <family val="1"/>
      </rPr>
      <t xml:space="preserve"> ) / 2</t>
    </r>
  </si>
  <si>
    <r>
      <t>R</t>
    </r>
    <r>
      <rPr>
        <b/>
        <i/>
        <vertAlign val="subscript"/>
        <sz val="8"/>
        <rFont val="Times New Roman"/>
        <family val="1"/>
      </rPr>
      <t>A</t>
    </r>
  </si>
  <si>
    <r>
      <t>R</t>
    </r>
    <r>
      <rPr>
        <b/>
        <i/>
        <vertAlign val="subscript"/>
        <sz val="8"/>
        <rFont val="Times New Roman"/>
        <family val="1"/>
      </rPr>
      <t>A1</t>
    </r>
    <r>
      <rPr>
        <b/>
        <i/>
        <sz val="8"/>
        <rFont val="Times New Roman"/>
        <family val="1"/>
      </rPr>
      <t xml:space="preserve"> +  R</t>
    </r>
    <r>
      <rPr>
        <b/>
        <i/>
        <vertAlign val="subscript"/>
        <sz val="8"/>
        <rFont val="Times New Roman"/>
        <family val="1"/>
      </rPr>
      <t>A2</t>
    </r>
  </si>
  <si>
    <r>
      <t>V</t>
    </r>
    <r>
      <rPr>
        <b/>
        <i/>
        <vertAlign val="subscript"/>
        <sz val="8"/>
        <rFont val="Times New Roman"/>
        <family val="1"/>
      </rPr>
      <t>A</t>
    </r>
  </si>
  <si>
    <r>
      <t>-V</t>
    </r>
    <r>
      <rPr>
        <b/>
        <i/>
        <vertAlign val="subscript"/>
        <sz val="8"/>
        <rFont val="Times New Roman"/>
        <family val="1"/>
      </rPr>
      <t>B</t>
    </r>
  </si>
  <si>
    <r>
      <t>M</t>
    </r>
    <r>
      <rPr>
        <b/>
        <i/>
        <vertAlign val="subscript"/>
        <sz val="8"/>
        <rFont val="Times New Roman"/>
        <family val="1"/>
      </rPr>
      <t>W.L 1</t>
    </r>
  </si>
  <si>
    <r>
      <t>M</t>
    </r>
    <r>
      <rPr>
        <b/>
        <i/>
        <vertAlign val="subscript"/>
        <sz val="8"/>
        <rFont val="Times New Roman"/>
        <family val="1"/>
      </rPr>
      <t>W.L 2</t>
    </r>
  </si>
  <si>
    <r>
      <t>M</t>
    </r>
    <r>
      <rPr>
        <b/>
        <i/>
        <vertAlign val="subscript"/>
        <sz val="8"/>
        <rFont val="Times New Roman"/>
        <family val="1"/>
      </rPr>
      <t>1</t>
    </r>
  </si>
  <si>
    <r>
      <t>( w</t>
    </r>
    <r>
      <rPr>
        <sz val="8"/>
        <rFont val="바탕"/>
        <family val="1"/>
        <charset val="129"/>
      </rPr>
      <t>₁</t>
    </r>
    <r>
      <rPr>
        <sz val="8"/>
        <rFont val="Times New Roman"/>
        <family val="1"/>
      </rPr>
      <t xml:space="preserve"> </t>
    </r>
    <r>
      <rPr>
        <sz val="8"/>
        <rFont val="바탕"/>
        <family val="1"/>
        <charset val="129"/>
      </rPr>
      <t>×</t>
    </r>
    <r>
      <rPr>
        <sz val="8"/>
        <rFont val="Times New Roman"/>
        <family val="1"/>
      </rPr>
      <t xml:space="preserve"> L</t>
    </r>
    <r>
      <rPr>
        <sz val="8"/>
        <rFont val="바탕"/>
        <family val="1"/>
        <charset val="129"/>
      </rPr>
      <t>²</t>
    </r>
    <r>
      <rPr>
        <sz val="8"/>
        <rFont val="Times New Roman"/>
        <family val="1"/>
      </rPr>
      <t xml:space="preserve">  ) / 12</t>
    </r>
  </si>
  <si>
    <r>
      <t>w</t>
    </r>
    <r>
      <rPr>
        <sz val="8"/>
        <rFont val="바탕"/>
        <family val="1"/>
        <charset val="129"/>
      </rPr>
      <t>₁</t>
    </r>
    <r>
      <rPr>
        <sz val="8"/>
        <rFont val="Times New Roman"/>
        <family val="1"/>
      </rPr>
      <t xml:space="preserve"> (  3L</t>
    </r>
    <r>
      <rPr>
        <sz val="8"/>
        <rFont val="바탕"/>
        <family val="1"/>
        <charset val="129"/>
      </rPr>
      <t>²</t>
    </r>
    <r>
      <rPr>
        <sz val="8"/>
        <rFont val="Times New Roman"/>
        <family val="1"/>
      </rPr>
      <t xml:space="preserve"> - 4a</t>
    </r>
    <r>
      <rPr>
        <sz val="8"/>
        <rFont val="바탕"/>
        <family val="1"/>
        <charset val="129"/>
      </rPr>
      <t>₁²</t>
    </r>
    <r>
      <rPr>
        <sz val="8"/>
        <rFont val="Times New Roman"/>
        <family val="1"/>
      </rPr>
      <t xml:space="preserve"> ) / 24</t>
    </r>
  </si>
  <si>
    <r>
      <t>M</t>
    </r>
    <r>
      <rPr>
        <b/>
        <i/>
        <vertAlign val="subscript"/>
        <sz val="8"/>
        <rFont val="Times New Roman"/>
        <family val="1"/>
      </rPr>
      <t>2</t>
    </r>
  </si>
  <si>
    <r>
      <t>( w</t>
    </r>
    <r>
      <rPr>
        <sz val="8"/>
        <rFont val="바탕"/>
        <family val="1"/>
        <charset val="129"/>
      </rPr>
      <t>₂</t>
    </r>
    <r>
      <rPr>
        <sz val="8"/>
        <rFont val="Times New Roman"/>
        <family val="1"/>
      </rPr>
      <t xml:space="preserve"> </t>
    </r>
    <r>
      <rPr>
        <sz val="8"/>
        <rFont val="바탕"/>
        <family val="1"/>
        <charset val="129"/>
      </rPr>
      <t>×</t>
    </r>
    <r>
      <rPr>
        <sz val="8"/>
        <rFont val="Times New Roman"/>
        <family val="1"/>
      </rPr>
      <t xml:space="preserve"> L</t>
    </r>
    <r>
      <rPr>
        <sz val="8"/>
        <rFont val="바탕"/>
        <family val="1"/>
        <charset val="129"/>
      </rPr>
      <t>²</t>
    </r>
    <r>
      <rPr>
        <sz val="8"/>
        <rFont val="Times New Roman"/>
        <family val="1"/>
      </rPr>
      <t xml:space="preserve">  ) / 12</t>
    </r>
  </si>
  <si>
    <r>
      <t>w</t>
    </r>
    <r>
      <rPr>
        <sz val="8"/>
        <rFont val="바탕"/>
        <family val="1"/>
        <charset val="129"/>
      </rPr>
      <t>₂</t>
    </r>
    <r>
      <rPr>
        <sz val="8"/>
        <rFont val="Times New Roman"/>
        <family val="1"/>
      </rPr>
      <t xml:space="preserve"> (  3L</t>
    </r>
    <r>
      <rPr>
        <sz val="8"/>
        <rFont val="바탕"/>
        <family val="1"/>
        <charset val="129"/>
      </rPr>
      <t>²</t>
    </r>
    <r>
      <rPr>
        <sz val="8"/>
        <rFont val="Times New Roman"/>
        <family val="1"/>
      </rPr>
      <t xml:space="preserve"> - 4a</t>
    </r>
    <r>
      <rPr>
        <sz val="8"/>
        <rFont val="바탕"/>
        <family val="1"/>
        <charset val="129"/>
      </rPr>
      <t>₂²</t>
    </r>
    <r>
      <rPr>
        <sz val="8"/>
        <rFont val="Times New Roman"/>
        <family val="1"/>
      </rPr>
      <t xml:space="preserve"> ) / 24</t>
    </r>
  </si>
  <si>
    <r>
      <t>δ</t>
    </r>
    <r>
      <rPr>
        <b/>
        <i/>
        <vertAlign val="subscript"/>
        <sz val="8"/>
        <rFont val="Times New Roman"/>
        <family val="1"/>
      </rPr>
      <t>1</t>
    </r>
  </si>
  <si>
    <r>
      <t>δ</t>
    </r>
    <r>
      <rPr>
        <b/>
        <i/>
        <vertAlign val="subscript"/>
        <sz val="8"/>
        <rFont val="Times New Roman"/>
        <family val="1"/>
      </rPr>
      <t>2</t>
    </r>
  </si>
  <si>
    <r>
      <t>( w</t>
    </r>
    <r>
      <rPr>
        <sz val="8"/>
        <rFont val="바탕"/>
        <family val="1"/>
        <charset val="129"/>
      </rPr>
      <t>₁×</t>
    </r>
    <r>
      <rPr>
        <sz val="8"/>
        <rFont val="Times New Roman"/>
        <family val="1"/>
      </rPr>
      <t xml:space="preserve"> L</t>
    </r>
    <r>
      <rPr>
        <sz val="8"/>
        <rFont val="바탕"/>
        <family val="1"/>
        <charset val="129"/>
      </rPr>
      <t>⁴</t>
    </r>
    <r>
      <rPr>
        <sz val="8"/>
        <rFont val="Times New Roman"/>
        <family val="1"/>
      </rPr>
      <t xml:space="preserve"> ) / 120 EI</t>
    </r>
  </si>
  <si>
    <r>
      <t>w</t>
    </r>
    <r>
      <rPr>
        <sz val="8"/>
        <rFont val="바탕"/>
        <family val="1"/>
        <charset val="129"/>
      </rPr>
      <t>₁</t>
    </r>
    <r>
      <rPr>
        <sz val="8"/>
        <rFont val="Times New Roman"/>
        <family val="1"/>
      </rPr>
      <t xml:space="preserve"> ( 5L</t>
    </r>
    <r>
      <rPr>
        <sz val="8"/>
        <rFont val="바탕"/>
        <family val="1"/>
        <charset val="129"/>
      </rPr>
      <t>²</t>
    </r>
    <r>
      <rPr>
        <sz val="8"/>
        <rFont val="Times New Roman"/>
        <family val="1"/>
      </rPr>
      <t xml:space="preserve"> - 4a</t>
    </r>
    <r>
      <rPr>
        <sz val="8"/>
        <rFont val="바탕"/>
        <family val="1"/>
        <charset val="129"/>
      </rPr>
      <t>₁²</t>
    </r>
    <r>
      <rPr>
        <sz val="8"/>
        <rFont val="Times New Roman"/>
        <family val="1"/>
      </rPr>
      <t xml:space="preserve"> )</t>
    </r>
    <r>
      <rPr>
        <sz val="8"/>
        <rFont val="바탕"/>
        <family val="1"/>
        <charset val="129"/>
      </rPr>
      <t>²</t>
    </r>
    <r>
      <rPr>
        <sz val="8"/>
        <rFont val="Times New Roman"/>
        <family val="1"/>
      </rPr>
      <t xml:space="preserve"> / 1920EI</t>
    </r>
  </si>
  <si>
    <r>
      <t>( w</t>
    </r>
    <r>
      <rPr>
        <sz val="8"/>
        <rFont val="바탕"/>
        <family val="1"/>
        <charset val="129"/>
      </rPr>
      <t>₂×</t>
    </r>
    <r>
      <rPr>
        <sz val="8"/>
        <rFont val="Times New Roman"/>
        <family val="1"/>
      </rPr>
      <t xml:space="preserve"> L</t>
    </r>
    <r>
      <rPr>
        <sz val="8"/>
        <rFont val="바탕"/>
        <family val="1"/>
        <charset val="129"/>
      </rPr>
      <t>⁴</t>
    </r>
    <r>
      <rPr>
        <sz val="8"/>
        <rFont val="Times New Roman"/>
        <family val="1"/>
      </rPr>
      <t xml:space="preserve"> ) / 120 EI</t>
    </r>
  </si>
  <si>
    <r>
      <t>w</t>
    </r>
    <r>
      <rPr>
        <sz val="8"/>
        <rFont val="바탕"/>
        <family val="1"/>
        <charset val="129"/>
      </rPr>
      <t>₂</t>
    </r>
    <r>
      <rPr>
        <sz val="8"/>
        <rFont val="Times New Roman"/>
        <family val="1"/>
      </rPr>
      <t xml:space="preserve"> ( 5L</t>
    </r>
    <r>
      <rPr>
        <sz val="8"/>
        <rFont val="바탕"/>
        <family val="1"/>
        <charset val="129"/>
      </rPr>
      <t>²</t>
    </r>
    <r>
      <rPr>
        <sz val="8"/>
        <rFont val="Times New Roman"/>
        <family val="1"/>
      </rPr>
      <t xml:space="preserve"> - 4a</t>
    </r>
    <r>
      <rPr>
        <sz val="8"/>
        <rFont val="바탕"/>
        <family val="1"/>
        <charset val="129"/>
      </rPr>
      <t>₂²</t>
    </r>
    <r>
      <rPr>
        <sz val="8"/>
        <rFont val="Times New Roman"/>
        <family val="1"/>
      </rPr>
      <t xml:space="preserve"> )</t>
    </r>
    <r>
      <rPr>
        <sz val="8"/>
        <rFont val="바탕"/>
        <family val="1"/>
        <charset val="129"/>
      </rPr>
      <t>²</t>
    </r>
    <r>
      <rPr>
        <sz val="8"/>
        <rFont val="Times New Roman"/>
        <family val="1"/>
      </rPr>
      <t xml:space="preserve"> / 1920EI</t>
    </r>
  </si>
  <si>
    <t>4) BENDING STRESS CHECK</t>
    <phoneticPr fontId="3" type="noConversion"/>
  </si>
  <si>
    <t>6063-</t>
    <phoneticPr fontId="3" type="noConversion"/>
  </si>
  <si>
    <t>-. Tubular Shapes</t>
    <phoneticPr fontId="3" type="noConversion"/>
  </si>
  <si>
    <t>F.3.1</t>
    <phoneticPr fontId="3" type="noConversion"/>
  </si>
  <si>
    <t>#.</t>
    <phoneticPr fontId="3" type="noConversion"/>
  </si>
  <si>
    <t xml:space="preserve">STEP. 1 </t>
    <phoneticPr fontId="3" type="noConversion"/>
  </si>
  <si>
    <t>STEP. 3</t>
    <phoneticPr fontId="3" type="noConversion"/>
  </si>
  <si>
    <r>
      <t>L</t>
    </r>
    <r>
      <rPr>
        <b/>
        <i/>
        <vertAlign val="subscript"/>
        <sz val="8"/>
        <rFont val="Times New Roman"/>
        <family val="1"/>
      </rPr>
      <t>b</t>
    </r>
  </si>
  <si>
    <t>mm</t>
    <phoneticPr fontId="4" type="noConversion"/>
  </si>
  <si>
    <r>
      <t>2*L</t>
    </r>
    <r>
      <rPr>
        <b/>
        <i/>
        <vertAlign val="subscript"/>
        <sz val="8"/>
        <rFont val="Times New Roman"/>
        <family val="1"/>
      </rPr>
      <t>b</t>
    </r>
    <r>
      <rPr>
        <b/>
        <i/>
        <sz val="8"/>
        <rFont val="Times New Roman"/>
        <family val="1"/>
      </rPr>
      <t>S</t>
    </r>
    <r>
      <rPr>
        <b/>
        <i/>
        <vertAlign val="subscript"/>
        <sz val="8"/>
        <rFont val="Times New Roman"/>
        <family val="1"/>
      </rPr>
      <t>X</t>
    </r>
  </si>
  <si>
    <t>S  ≤  S₁</t>
    <phoneticPr fontId="3" type="noConversion"/>
  </si>
  <si>
    <r>
      <t>S</t>
    </r>
    <r>
      <rPr>
        <b/>
        <vertAlign val="subscript"/>
        <sz val="8"/>
        <rFont val="한컴바탕"/>
        <family val="1"/>
        <charset val="129"/>
      </rPr>
      <t>1</t>
    </r>
  </si>
  <si>
    <r>
      <t>S</t>
    </r>
    <r>
      <rPr>
        <b/>
        <vertAlign val="subscript"/>
        <sz val="8"/>
        <rFont val="한컴바탕"/>
        <family val="1"/>
        <charset val="129"/>
      </rPr>
      <t>2</t>
    </r>
  </si>
  <si>
    <r>
      <rPr>
        <b/>
        <i/>
        <sz val="8"/>
        <rFont val="한컴돋움"/>
        <family val="1"/>
        <charset val="129"/>
      </rPr>
      <t>√</t>
    </r>
    <r>
      <rPr>
        <b/>
        <i/>
        <sz val="8"/>
        <rFont val="Times New Roman"/>
        <family val="1"/>
      </rPr>
      <t>I</t>
    </r>
    <r>
      <rPr>
        <b/>
        <i/>
        <vertAlign val="subscript"/>
        <sz val="8"/>
        <rFont val="Times New Roman"/>
        <family val="1"/>
      </rPr>
      <t>Y</t>
    </r>
    <r>
      <rPr>
        <b/>
        <i/>
        <sz val="8"/>
        <rFont val="Times New Roman"/>
        <family val="1"/>
      </rPr>
      <t>J</t>
    </r>
  </si>
  <si>
    <t>S₁</t>
    <phoneticPr fontId="3" type="noConversion"/>
  </si>
  <si>
    <r>
      <t>mm</t>
    </r>
    <r>
      <rPr>
        <b/>
        <vertAlign val="superscript"/>
        <sz val="8"/>
        <rFont val="한컴돋움"/>
        <family val="1"/>
        <charset val="129"/>
      </rPr>
      <t>3</t>
    </r>
  </si>
  <si>
    <t>S₁&lt;  S  &lt; S₂</t>
    <phoneticPr fontId="3" type="noConversion"/>
  </si>
  <si>
    <t>STEP. 2</t>
    <phoneticPr fontId="3" type="noConversion"/>
  </si>
  <si>
    <t>S₂</t>
    <phoneticPr fontId="3" type="noConversion"/>
  </si>
  <si>
    <t>S</t>
    <phoneticPr fontId="3" type="noConversion"/>
  </si>
  <si>
    <r>
      <t>F</t>
    </r>
    <r>
      <rPr>
        <b/>
        <i/>
        <vertAlign val="subscript"/>
        <sz val="8"/>
        <rFont val="Times New Roman"/>
        <family val="1"/>
      </rPr>
      <t>b1</t>
    </r>
  </si>
  <si>
    <t>S  ≥  S₂</t>
    <phoneticPr fontId="3" type="noConversion"/>
  </si>
  <si>
    <t xml:space="preserve">-. Flat Elements Supported On Both Edges </t>
    <phoneticPr fontId="3" type="noConversion"/>
  </si>
  <si>
    <t>B.5.4.2</t>
    <phoneticPr fontId="3" type="noConversion"/>
  </si>
  <si>
    <t>b  /  t</t>
    <phoneticPr fontId="3" type="noConversion"/>
  </si>
  <si>
    <r>
      <t>F</t>
    </r>
    <r>
      <rPr>
        <b/>
        <i/>
        <vertAlign val="subscript"/>
        <sz val="8"/>
        <rFont val="Times New Roman"/>
        <family val="1"/>
      </rPr>
      <t>b2</t>
    </r>
  </si>
  <si>
    <t>B.5.5.1</t>
    <phoneticPr fontId="3" type="noConversion"/>
  </si>
  <si>
    <t>h</t>
    <phoneticPr fontId="3" type="noConversion"/>
  </si>
  <si>
    <t>h  /  t</t>
    <phoneticPr fontId="3" type="noConversion"/>
  </si>
  <si>
    <r>
      <t>F</t>
    </r>
    <r>
      <rPr>
        <b/>
        <i/>
        <vertAlign val="subscript"/>
        <sz val="8"/>
        <rFont val="Times New Roman"/>
        <family val="1"/>
      </rPr>
      <t>b3</t>
    </r>
  </si>
  <si>
    <t>-. Calculate Actual Stress</t>
    <phoneticPr fontId="3" type="noConversion"/>
  </si>
  <si>
    <t xml:space="preserve">   /</t>
    <phoneticPr fontId="3" type="noConversion"/>
  </si>
  <si>
    <t>Determine Allowable Stress</t>
    <phoneticPr fontId="3" type="noConversion"/>
  </si>
  <si>
    <r>
      <t>f</t>
    </r>
    <r>
      <rPr>
        <b/>
        <i/>
        <vertAlign val="subscript"/>
        <sz val="8"/>
        <rFont val="Times New Roman"/>
        <family val="1"/>
      </rPr>
      <t>b</t>
    </r>
  </si>
  <si>
    <r>
      <t>M</t>
    </r>
    <r>
      <rPr>
        <b/>
        <i/>
        <vertAlign val="subscript"/>
        <sz val="8"/>
        <rFont val="Times New Roman"/>
        <family val="1"/>
      </rPr>
      <t>D.L</t>
    </r>
    <r>
      <rPr>
        <b/>
        <i/>
        <sz val="8"/>
        <rFont val="Times New Roman"/>
        <family val="1"/>
      </rPr>
      <t xml:space="preserve">  /  S</t>
    </r>
    <r>
      <rPr>
        <b/>
        <i/>
        <vertAlign val="subscript"/>
        <sz val="8"/>
        <rFont val="Times New Roman"/>
        <family val="1"/>
      </rPr>
      <t>X</t>
    </r>
  </si>
  <si>
    <r>
      <t>F</t>
    </r>
    <r>
      <rPr>
        <b/>
        <i/>
        <vertAlign val="subscript"/>
        <sz val="8"/>
        <rFont val="Times New Roman"/>
        <family val="1"/>
      </rPr>
      <t>b</t>
    </r>
  </si>
  <si>
    <r>
      <t>MIN ( F</t>
    </r>
    <r>
      <rPr>
        <b/>
        <i/>
        <vertAlign val="subscript"/>
        <sz val="8"/>
        <rFont val="Times New Roman"/>
        <family val="1"/>
      </rPr>
      <t>b1</t>
    </r>
    <r>
      <rPr>
        <b/>
        <i/>
        <sz val="8"/>
        <rFont val="Times New Roman"/>
        <family val="1"/>
      </rPr>
      <t xml:space="preserve"> , F</t>
    </r>
    <r>
      <rPr>
        <b/>
        <i/>
        <vertAlign val="subscript"/>
        <sz val="8"/>
        <rFont val="Times New Roman"/>
        <family val="1"/>
      </rPr>
      <t>b2</t>
    </r>
    <r>
      <rPr>
        <b/>
        <i/>
        <sz val="8"/>
        <rFont val="Times New Roman"/>
        <family val="1"/>
      </rPr>
      <t xml:space="preserve"> , F</t>
    </r>
    <r>
      <rPr>
        <b/>
        <i/>
        <vertAlign val="subscript"/>
        <sz val="8"/>
        <rFont val="Times New Roman"/>
        <family val="1"/>
      </rPr>
      <t>b3</t>
    </r>
    <r>
      <rPr>
        <b/>
        <i/>
        <sz val="8"/>
        <rFont val="Times New Roman"/>
        <family val="1"/>
      </rPr>
      <t xml:space="preserve"> )</t>
    </r>
  </si>
  <si>
    <t>-. Check Stress Stability</t>
    <phoneticPr fontId="3" type="noConversion"/>
  </si>
  <si>
    <r>
      <t>f</t>
    </r>
    <r>
      <rPr>
        <b/>
        <i/>
        <vertAlign val="subscript"/>
        <sz val="8"/>
        <rFont val="Times New Roman"/>
        <family val="1"/>
      </rPr>
      <t>b</t>
    </r>
    <r>
      <rPr>
        <b/>
        <i/>
        <sz val="8"/>
        <rFont val="Times New Roman"/>
        <family val="1"/>
      </rPr>
      <t xml:space="preserve">  /  F</t>
    </r>
    <r>
      <rPr>
        <b/>
        <i/>
        <vertAlign val="subscript"/>
        <sz val="8"/>
        <rFont val="Times New Roman"/>
        <family val="1"/>
      </rPr>
      <t>b</t>
    </r>
  </si>
  <si>
    <r>
      <t>2*L</t>
    </r>
    <r>
      <rPr>
        <b/>
        <i/>
        <vertAlign val="subscript"/>
        <sz val="8"/>
        <rFont val="Times New Roman"/>
        <family val="1"/>
      </rPr>
      <t>b</t>
    </r>
    <r>
      <rPr>
        <b/>
        <i/>
        <sz val="8"/>
        <rFont val="Times New Roman"/>
        <family val="1"/>
      </rPr>
      <t>S</t>
    </r>
    <r>
      <rPr>
        <b/>
        <i/>
        <vertAlign val="subscript"/>
        <sz val="8"/>
        <rFont val="Times New Roman"/>
        <family val="1"/>
      </rPr>
      <t>Y</t>
    </r>
  </si>
  <si>
    <r>
      <rPr>
        <b/>
        <i/>
        <sz val="8"/>
        <rFont val="한컴돋움"/>
        <family val="1"/>
        <charset val="129"/>
      </rPr>
      <t>√</t>
    </r>
    <r>
      <rPr>
        <b/>
        <i/>
        <sz val="8"/>
        <rFont val="Times New Roman"/>
        <family val="1"/>
      </rPr>
      <t>I</t>
    </r>
    <r>
      <rPr>
        <b/>
        <i/>
        <vertAlign val="subscript"/>
        <sz val="8"/>
        <rFont val="Times New Roman"/>
        <family val="1"/>
      </rPr>
      <t>X</t>
    </r>
    <r>
      <rPr>
        <b/>
        <i/>
        <sz val="8"/>
        <rFont val="Times New Roman"/>
        <family val="1"/>
      </rPr>
      <t>J</t>
    </r>
  </si>
  <si>
    <t>(3) COMBINE STRESS STABILITY</t>
    <phoneticPr fontId="4" type="noConversion"/>
  </si>
  <si>
    <t>+</t>
    <phoneticPr fontId="3" type="noConversion"/>
  </si>
  <si>
    <t xml:space="preserve">5) DEFLECTION CHECK </t>
    <phoneticPr fontId="4" type="noConversion"/>
  </si>
  <si>
    <t>-. Actual Deflection</t>
    <phoneticPr fontId="4" type="noConversion"/>
  </si>
  <si>
    <r>
      <t>δ</t>
    </r>
    <r>
      <rPr>
        <b/>
        <i/>
        <vertAlign val="subscript"/>
        <sz val="8"/>
        <rFont val="Times New Roman"/>
        <family val="1"/>
      </rPr>
      <t>MAX</t>
    </r>
  </si>
  <si>
    <t>-. Allowable Deflection</t>
    <phoneticPr fontId="4" type="noConversion"/>
  </si>
  <si>
    <t>&lt; AAMA MCWM-1-89 &gt;</t>
    <phoneticPr fontId="3" type="noConversion"/>
  </si>
  <si>
    <r>
      <t>δ</t>
    </r>
    <r>
      <rPr>
        <b/>
        <i/>
        <vertAlign val="subscript"/>
        <sz val="8"/>
        <rFont val="Times New Roman"/>
        <family val="1"/>
      </rPr>
      <t>Allow</t>
    </r>
  </si>
  <si>
    <t>( 1 / 16" : Open Window )</t>
    <phoneticPr fontId="3" type="noConversion"/>
  </si>
  <si>
    <t>( 1 / 8" : Fix Window )</t>
    <phoneticPr fontId="3" type="noConversion"/>
  </si>
  <si>
    <t>-. Check Deflection Stability</t>
    <phoneticPr fontId="3" type="noConversion"/>
  </si>
  <si>
    <r>
      <t>δ</t>
    </r>
    <r>
      <rPr>
        <b/>
        <i/>
        <vertAlign val="subscript"/>
        <sz val="8"/>
        <rFont val="Times New Roman"/>
        <family val="1"/>
      </rPr>
      <t xml:space="preserve">MAX  </t>
    </r>
    <r>
      <rPr>
        <b/>
        <i/>
        <sz val="8"/>
        <rFont val="Times New Roman"/>
        <family val="1"/>
      </rPr>
      <t>/  δ</t>
    </r>
    <r>
      <rPr>
        <b/>
        <i/>
        <vertAlign val="subscript"/>
        <sz val="8"/>
        <rFont val="Times New Roman"/>
        <family val="1"/>
      </rPr>
      <t>Allow</t>
    </r>
  </si>
  <si>
    <t>&lt; AAMA TIR-A11-04 &gt;</t>
    <phoneticPr fontId="3" type="noConversion"/>
  </si>
  <si>
    <t>L &gt; 4110</t>
    <phoneticPr fontId="3" type="noConversion"/>
  </si>
  <si>
    <t>L ≤4110</t>
    <phoneticPr fontId="3" type="noConversion"/>
  </si>
  <si>
    <t>삼각+사다리</t>
    <phoneticPr fontId="3" type="noConversion"/>
  </si>
  <si>
    <t>사다리+삼각</t>
    <phoneticPr fontId="3" type="noConversion"/>
  </si>
  <si>
    <t>사다리+사다리</t>
    <phoneticPr fontId="3" type="noConversion"/>
  </si>
  <si>
    <t>삼각+삼각</t>
    <phoneticPr fontId="3" type="noConversion"/>
  </si>
  <si>
    <t>N.mm</t>
  </si>
  <si>
    <r>
      <rPr>
        <b/>
        <sz val="9"/>
        <rFont val="Times New Roman"/>
        <family val="1"/>
      </rPr>
      <t xml:space="preserve">( </t>
    </r>
    <r>
      <rPr>
        <b/>
        <i/>
        <sz val="9"/>
        <rFont val="Times New Roman"/>
        <family val="1"/>
      </rPr>
      <t xml:space="preserve">Modulus of Elasticity , SS 275 </t>
    </r>
    <r>
      <rPr>
        <b/>
        <sz val="9"/>
        <rFont val="Times New Roman"/>
        <family val="1"/>
      </rPr>
      <t>)</t>
    </r>
  </si>
  <si>
    <r>
      <rPr>
        <b/>
        <sz val="9"/>
        <rFont val="Times New Roman"/>
        <family val="1"/>
      </rPr>
      <t xml:space="preserve">( </t>
    </r>
    <r>
      <rPr>
        <b/>
        <i/>
        <sz val="9"/>
        <rFont val="Times New Roman"/>
        <family val="1"/>
      </rPr>
      <t xml:space="preserve">Modulus of Elasticity , STS 304 </t>
    </r>
    <r>
      <rPr>
        <b/>
        <sz val="9"/>
        <rFont val="Times New Roman"/>
        <family val="1"/>
      </rPr>
      <t>)</t>
    </r>
  </si>
  <si>
    <t>STS 304  Yield Strength</t>
  </si>
  <si>
    <t>( STS 304 )</t>
  </si>
  <si>
    <t>( STS 304  Yield Strength )</t>
  </si>
  <si>
    <t>( SS 275  Yield Strength )</t>
  </si>
  <si>
    <t>( SS 275 )</t>
  </si>
  <si>
    <t>X</t>
  </si>
  <si>
    <t>Y</t>
  </si>
  <si>
    <r>
      <t xml:space="preserve">90,0000 /  </t>
    </r>
    <r>
      <rPr>
        <b/>
        <sz val="9"/>
        <rFont val="Times New Roman"/>
        <family val="1"/>
      </rPr>
      <t>(</t>
    </r>
    <r>
      <rPr>
        <b/>
        <i/>
        <sz val="9"/>
        <rFont val="Times New Roman"/>
        <family val="1"/>
      </rPr>
      <t xml:space="preserve"> L</t>
    </r>
    <r>
      <rPr>
        <b/>
        <i/>
        <vertAlign val="subscript"/>
        <sz val="9"/>
        <rFont val="Times New Roman"/>
        <family val="1"/>
      </rPr>
      <t>b</t>
    </r>
    <r>
      <rPr>
        <b/>
        <i/>
        <sz val="9"/>
        <rFont val="Times New Roman"/>
        <family val="1"/>
      </rPr>
      <t xml:space="preserve"> * H / A</t>
    </r>
    <r>
      <rPr>
        <b/>
        <i/>
        <vertAlign val="subscript"/>
        <sz val="9"/>
        <rFont val="Times New Roman"/>
        <family val="1"/>
      </rPr>
      <t>f</t>
    </r>
    <r>
      <rPr>
        <b/>
        <i/>
        <sz val="9"/>
        <rFont val="Times New Roman"/>
        <family val="1"/>
      </rPr>
      <t xml:space="preserve"> </t>
    </r>
    <r>
      <rPr>
        <b/>
        <sz val="9"/>
        <rFont val="Times New Roman"/>
        <family val="1"/>
      </rPr>
      <t>)</t>
    </r>
  </si>
  <si>
    <r>
      <t>F</t>
    </r>
    <r>
      <rPr>
        <b/>
        <i/>
        <vertAlign val="subscript"/>
        <sz val="8"/>
        <rFont val="Times New Roman"/>
        <family val="1"/>
      </rPr>
      <t>y</t>
    </r>
  </si>
  <si>
    <t>-. CHECK FOR TYPICAL TRANSOM</t>
  </si>
  <si>
    <t xml:space="preserve">-. DESIGN SEISMIC LOAD </t>
  </si>
  <si>
    <t xml:space="preserve">1. 도시 &amp; 건물높이 </t>
  </si>
  <si>
    <t>-.</t>
    <phoneticPr fontId="3" type="noConversion"/>
  </si>
  <si>
    <r>
      <t xml:space="preserve">대한건축학회, 『 </t>
    </r>
    <r>
      <rPr>
        <b/>
        <sz val="9"/>
        <color rgb="FF0000FF"/>
        <rFont val="한컴돋움"/>
        <family val="1"/>
        <charset val="129"/>
      </rPr>
      <t>건축물 내진설계기준</t>
    </r>
    <r>
      <rPr>
        <b/>
        <sz val="9"/>
        <color indexed="12"/>
        <rFont val="한컴돋움"/>
        <family val="1"/>
        <charset val="129"/>
      </rPr>
      <t xml:space="preserve"> KDS-41 17 00 :2019</t>
    </r>
    <r>
      <rPr>
        <b/>
        <sz val="9"/>
        <color indexed="8"/>
        <rFont val="한컴돋움"/>
        <family val="1"/>
        <charset val="129"/>
      </rPr>
      <t xml:space="preserve"> 』에 의거함</t>
    </r>
  </si>
  <si>
    <t>2. 중요도계수</t>
  </si>
  <si>
    <t>3. 계수</t>
  </si>
  <si>
    <t>1)</t>
    <phoneticPr fontId="3" type="noConversion"/>
  </si>
  <si>
    <t>Seismic Load Design Condition</t>
    <phoneticPr fontId="6" type="noConversion"/>
  </si>
  <si>
    <t>4. 지반종류</t>
  </si>
  <si>
    <t>5. 계산 OR 강제입력</t>
  </si>
  <si>
    <t>(1) Input Data</t>
    <phoneticPr fontId="4" type="noConversion"/>
  </si>
  <si>
    <t>6. 가동중량</t>
  </si>
  <si>
    <t>입력선택</t>
  </si>
  <si>
    <t>직선보간법</t>
  </si>
  <si>
    <r>
      <t xml:space="preserve">포천시 남양주시 가평군 하남시 성남시 </t>
    </r>
    <r>
      <rPr>
        <b/>
        <sz val="9"/>
        <color rgb="FFFFFF00"/>
        <rFont val="한컴돋움"/>
        <family val="1"/>
        <charset val="129"/>
      </rPr>
      <t>광주시</t>
    </r>
    <r>
      <rPr>
        <b/>
        <sz val="9"/>
        <rFont val="한컴돋움"/>
        <family val="1"/>
        <charset val="129"/>
      </rPr>
      <t xml:space="preserve"> 양평군 용인시</t>
    </r>
  </si>
  <si>
    <t>도시입력</t>
    <phoneticPr fontId="3" type="noConversion"/>
  </si>
  <si>
    <t>계산값</t>
  </si>
  <si>
    <t>Fa</t>
  </si>
  <si>
    <t>건설지점</t>
    <phoneticPr fontId="6" type="noConversion"/>
  </si>
  <si>
    <t>:</t>
    <phoneticPr fontId="6" type="noConversion"/>
  </si>
  <si>
    <t>Fa</t>
    <phoneticPr fontId="3" type="noConversion"/>
  </si>
  <si>
    <t>S</t>
  </si>
  <si>
    <t>건물 높이 ( h )</t>
    <phoneticPr fontId="6" type="noConversion"/>
  </si>
  <si>
    <t>m</t>
    <phoneticPr fontId="6" type="noConversion"/>
  </si>
  <si>
    <t>지진구역</t>
  </si>
  <si>
    <t>강제입력</t>
  </si>
  <si>
    <t>기준 높이 ( z )</t>
    <phoneticPr fontId="6" type="noConversion"/>
  </si>
  <si>
    <t>홍천군 철원군 화천군 횡성군 평창군 양구군 인제군 고성군 양양군 춘천시 속초시</t>
  </si>
  <si>
    <r>
      <t xml:space="preserve">중요도계수 ( </t>
    </r>
    <r>
      <rPr>
        <b/>
        <i/>
        <sz val="9"/>
        <rFont val="Times New Roman"/>
        <family val="1"/>
      </rPr>
      <t>I</t>
    </r>
    <r>
      <rPr>
        <b/>
        <i/>
        <vertAlign val="subscript"/>
        <sz val="9"/>
        <rFont val="Times New Roman"/>
        <family val="1"/>
      </rPr>
      <t xml:space="preserve">P </t>
    </r>
    <r>
      <rPr>
        <b/>
        <sz val="9"/>
        <rFont val="한컴돋움"/>
        <family val="1"/>
        <charset val="129"/>
      </rPr>
      <t>)</t>
    </r>
  </si>
  <si>
    <t>중요도계수</t>
  </si>
  <si>
    <t>재현주기</t>
  </si>
  <si>
    <t>영월군 정선군 삼척시 강릉시 동해시 원주시 태백시</t>
  </si>
  <si>
    <r>
      <t xml:space="preserve">증폭계수 ( </t>
    </r>
    <r>
      <rPr>
        <b/>
        <i/>
        <sz val="9"/>
        <rFont val="Times New Roman"/>
        <family val="1"/>
      </rPr>
      <t>a</t>
    </r>
    <r>
      <rPr>
        <b/>
        <i/>
        <vertAlign val="subscript"/>
        <sz val="9"/>
        <rFont val="Times New Roman"/>
        <family val="1"/>
      </rPr>
      <t xml:space="preserve">P </t>
    </r>
    <r>
      <rPr>
        <b/>
        <sz val="9"/>
        <rFont val="한컴돋움"/>
        <family val="1"/>
        <charset val="129"/>
      </rPr>
      <t>)</t>
    </r>
  </si>
  <si>
    <r>
      <t xml:space="preserve">( 피난경로상의 계단, </t>
    </r>
    <r>
      <rPr>
        <sz val="9"/>
        <color rgb="FF0000FF"/>
        <rFont val="한컴돋움"/>
        <family val="1"/>
        <charset val="129"/>
      </rPr>
      <t>캐노피</t>
    </r>
    <r>
      <rPr>
        <sz val="9"/>
        <rFont val="한컴돋움"/>
        <family val="1"/>
        <charset val="129"/>
      </rPr>
      <t xml:space="preserve">, 비상유도등, </t>
    </r>
    <r>
      <rPr>
        <sz val="9"/>
        <color rgb="FF0000FF"/>
        <rFont val="한컴돋움"/>
        <family val="1"/>
        <charset val="129"/>
      </rPr>
      <t>중량칸막이벽</t>
    </r>
    <r>
      <rPr>
        <sz val="9"/>
        <rFont val="한컴돋움"/>
        <family val="1"/>
        <charset val="129"/>
      </rPr>
      <t xml:space="preserve"> )</t>
    </r>
  </si>
  <si>
    <t>2400년</t>
  </si>
  <si>
    <r>
      <t xml:space="preserve">( </t>
    </r>
    <r>
      <rPr>
        <sz val="9"/>
        <color rgb="FF0000FF"/>
        <rFont val="한컴돋움"/>
        <family val="1"/>
        <charset val="129"/>
      </rPr>
      <t>파라펫</t>
    </r>
    <r>
      <rPr>
        <sz val="9"/>
        <rFont val="한컴돋움"/>
        <family val="1"/>
        <charset val="129"/>
      </rPr>
      <t xml:space="preserve">, 건물외부의 </t>
    </r>
    <r>
      <rPr>
        <sz val="9"/>
        <color rgb="FF0000FF"/>
        <rFont val="한컴돋움"/>
        <family val="1"/>
        <charset val="129"/>
      </rPr>
      <t>치장 벽돌</t>
    </r>
    <r>
      <rPr>
        <sz val="9"/>
        <rFont val="한컴돋움"/>
        <family val="1"/>
        <charset val="129"/>
      </rPr>
      <t xml:space="preserve"> 및 </t>
    </r>
    <r>
      <rPr>
        <sz val="9"/>
        <color rgb="FF0000FF"/>
        <rFont val="한컴돋움"/>
        <family val="1"/>
        <charset val="129"/>
      </rPr>
      <t>외부치장마감석재</t>
    </r>
    <r>
      <rPr>
        <sz val="9"/>
        <rFont val="한컴돋움"/>
        <family val="1"/>
        <charset val="129"/>
      </rPr>
      <t xml:space="preserve"> )</t>
    </r>
  </si>
  <si>
    <t>1000년</t>
  </si>
  <si>
    <r>
      <t xml:space="preserve">반응계수 ( </t>
    </r>
    <r>
      <rPr>
        <b/>
        <i/>
        <sz val="9"/>
        <rFont val="한컴돋움"/>
        <family val="1"/>
        <charset val="129"/>
      </rPr>
      <t>R</t>
    </r>
    <r>
      <rPr>
        <b/>
        <i/>
        <vertAlign val="subscript"/>
        <sz val="9"/>
        <rFont val="Times New Roman"/>
        <family val="1"/>
      </rPr>
      <t xml:space="preserve">P </t>
    </r>
    <r>
      <rPr>
        <b/>
        <sz val="9"/>
        <rFont val="한컴돋움"/>
        <family val="1"/>
        <charset val="129"/>
      </rPr>
      <t>)</t>
    </r>
  </si>
  <si>
    <t>증폭계수, 반응계수, 초과강도계수</t>
  </si>
  <si>
    <t>건축비구조요소</t>
  </si>
  <si>
    <t>증폭계수</t>
  </si>
  <si>
    <t>반응수정계수</t>
  </si>
  <si>
    <t>초과강도계수</t>
  </si>
  <si>
    <r>
      <t xml:space="preserve">초과강도계수 ( </t>
    </r>
    <r>
      <rPr>
        <b/>
        <sz val="9"/>
        <rFont val="맑은 고딕"/>
        <family val="3"/>
        <charset val="129"/>
      </rPr>
      <t>Ω</t>
    </r>
    <r>
      <rPr>
        <b/>
        <i/>
        <vertAlign val="subscript"/>
        <sz val="9"/>
        <rFont val="Times New Roman"/>
        <family val="1"/>
      </rPr>
      <t xml:space="preserve"> </t>
    </r>
    <r>
      <rPr>
        <b/>
        <sz val="9"/>
        <rFont val="한컴돋움"/>
        <family val="1"/>
        <charset val="129"/>
      </rPr>
      <t>)</t>
    </r>
  </si>
  <si>
    <t>내부 비구조벽체 및 칸막이벽</t>
  </si>
  <si>
    <t>유효지반가속도</t>
  </si>
  <si>
    <t>( 유효지반가속도 S )</t>
  </si>
  <si>
    <t>( 비보강조적벽 )</t>
  </si>
  <si>
    <t>내벽</t>
  </si>
  <si>
    <t>단주기 지반증폭계수</t>
  </si>
  <si>
    <t>( 단주기 지반증폭계수 Fa )</t>
  </si>
  <si>
    <t>( 그밖의 벽과 칸막이 )</t>
  </si>
  <si>
    <t xml:space="preserve">단주기스펙트럼가속도 </t>
    <phoneticPr fontId="3" type="noConversion"/>
  </si>
  <si>
    <r>
      <t>S × 2.5 × F</t>
    </r>
    <r>
      <rPr>
        <b/>
        <i/>
        <vertAlign val="subscript"/>
        <sz val="9"/>
        <rFont val="Times New Roman"/>
        <family val="1"/>
      </rPr>
      <t>a</t>
    </r>
    <r>
      <rPr>
        <b/>
        <i/>
        <sz val="9"/>
        <rFont val="Times New Roman"/>
        <family val="1"/>
      </rPr>
      <t xml:space="preserve"> × 2 / 3</t>
    </r>
  </si>
  <si>
    <r>
      <t>( 단주기스펙트럼가속도 S</t>
    </r>
    <r>
      <rPr>
        <b/>
        <vertAlign val="subscript"/>
        <sz val="9"/>
        <rFont val="한컴돋움"/>
        <family val="1"/>
        <charset val="129"/>
      </rPr>
      <t>DS</t>
    </r>
    <r>
      <rPr>
        <b/>
        <sz val="9"/>
        <rFont val="한컴돋움"/>
        <family val="1"/>
        <charset val="129"/>
      </rPr>
      <t xml:space="preserve"> )</t>
    </r>
  </si>
  <si>
    <t>외측 비구조벽체부재 및 접합부</t>
  </si>
  <si>
    <t>( 벽체부재, 벽체패널 접합부의 몸체 )</t>
  </si>
  <si>
    <t>커튼월</t>
  </si>
  <si>
    <t>N/A</t>
  </si>
  <si>
    <t>비구조요소의 가동중량</t>
    <phoneticPr fontId="3" type="noConversion"/>
  </si>
  <si>
    <t>kN/m²</t>
    <phoneticPr fontId="3" type="noConversion"/>
  </si>
  <si>
    <t>-</t>
  </si>
  <si>
    <t>( 연결시스템의 조임구 )</t>
  </si>
  <si>
    <t>표면마감재</t>
  </si>
  <si>
    <t>( 변형이 제한된 부재 및 부착물 )</t>
  </si>
  <si>
    <t>(2) Output Data - 부재 설계용</t>
    <phoneticPr fontId="4" type="noConversion"/>
  </si>
  <si>
    <t>( 변형성능이 낮은 부재 및 부착물 )</t>
  </si>
  <si>
    <t>석재</t>
  </si>
  <si>
    <t>( 옥탑(건물골조가 연장된 골조의 경우 제외) )</t>
  </si>
  <si>
    <t>지진에 의한 수평방향 등가정적하중</t>
    <phoneticPr fontId="6" type="noConversion"/>
  </si>
  <si>
    <t>( 천장 )</t>
  </si>
  <si>
    <t>천장</t>
  </si>
  <si>
    <t>( 출구계단 및 램프체결장치 및 부착장치 )</t>
  </si>
  <si>
    <r>
      <t>F</t>
    </r>
    <r>
      <rPr>
        <b/>
        <i/>
        <vertAlign val="subscript"/>
        <sz val="9"/>
        <rFont val="Times New Roman"/>
        <family val="1"/>
      </rPr>
      <t>pH</t>
    </r>
  </si>
  <si>
    <t>( 캔틸레버부재 )</t>
  </si>
  <si>
    <t>캐노피</t>
  </si>
  <si>
    <t>유효지반가속도 S = 지진구역계수 × 위험도계수</t>
  </si>
  <si>
    <t>지진구역계수</t>
  </si>
  <si>
    <r>
      <t>F</t>
    </r>
    <r>
      <rPr>
        <b/>
        <i/>
        <vertAlign val="subscript"/>
        <sz val="9"/>
        <rFont val="Times New Roman"/>
        <family val="1"/>
      </rPr>
      <t>pH.max</t>
    </r>
  </si>
  <si>
    <r>
      <t>1.6 × S</t>
    </r>
    <r>
      <rPr>
        <b/>
        <i/>
        <vertAlign val="subscript"/>
        <sz val="9"/>
        <rFont val="Times New Roman"/>
        <family val="1"/>
      </rPr>
      <t>DS</t>
    </r>
    <r>
      <rPr>
        <b/>
        <i/>
        <sz val="9"/>
        <rFont val="Times New Roman"/>
        <family val="1"/>
      </rPr>
      <t xml:space="preserve"> × I</t>
    </r>
    <r>
      <rPr>
        <b/>
        <i/>
        <vertAlign val="subscript"/>
        <sz val="9"/>
        <rFont val="Times New Roman"/>
        <family val="1"/>
      </rPr>
      <t>P</t>
    </r>
    <r>
      <rPr>
        <b/>
        <i/>
        <sz val="9"/>
        <rFont val="Times New Roman"/>
        <family val="1"/>
      </rPr>
      <t xml:space="preserve"> × W</t>
    </r>
    <r>
      <rPr>
        <b/>
        <i/>
        <vertAlign val="subscript"/>
        <sz val="9"/>
        <rFont val="Times New Roman"/>
        <family val="1"/>
      </rPr>
      <t>P</t>
    </r>
  </si>
  <si>
    <t>위험도계수</t>
  </si>
  <si>
    <r>
      <t>F</t>
    </r>
    <r>
      <rPr>
        <b/>
        <i/>
        <vertAlign val="subscript"/>
        <sz val="9"/>
        <rFont val="Times New Roman"/>
        <family val="1"/>
      </rPr>
      <t>pH.min</t>
    </r>
  </si>
  <si>
    <r>
      <t>0.3× S</t>
    </r>
    <r>
      <rPr>
        <b/>
        <i/>
        <vertAlign val="subscript"/>
        <sz val="9"/>
        <rFont val="Times New Roman"/>
        <family val="1"/>
      </rPr>
      <t>DS</t>
    </r>
    <r>
      <rPr>
        <b/>
        <i/>
        <sz val="9"/>
        <rFont val="Times New Roman"/>
        <family val="1"/>
      </rPr>
      <t xml:space="preserve"> × I</t>
    </r>
    <r>
      <rPr>
        <b/>
        <i/>
        <vertAlign val="subscript"/>
        <sz val="9"/>
        <rFont val="Times New Roman"/>
        <family val="1"/>
      </rPr>
      <t>P</t>
    </r>
    <r>
      <rPr>
        <b/>
        <i/>
        <sz val="9"/>
        <rFont val="Times New Roman"/>
        <family val="1"/>
      </rPr>
      <t xml:space="preserve"> × W</t>
    </r>
    <r>
      <rPr>
        <b/>
        <i/>
        <vertAlign val="subscript"/>
        <sz val="9"/>
        <rFont val="Times New Roman"/>
        <family val="1"/>
      </rPr>
      <t>P</t>
    </r>
  </si>
  <si>
    <t>단주기 지반증폭계수 Fa</t>
  </si>
  <si>
    <r>
      <t>where, F</t>
    </r>
    <r>
      <rPr>
        <b/>
        <i/>
        <vertAlign val="subscript"/>
        <sz val="9"/>
        <rFont val="Times New Roman"/>
        <family val="1"/>
      </rPr>
      <t xml:space="preserve">pH.min   </t>
    </r>
    <r>
      <rPr>
        <b/>
        <i/>
        <sz val="9"/>
        <rFont val="Times New Roman"/>
        <family val="1"/>
      </rPr>
      <t>&lt;  F</t>
    </r>
    <r>
      <rPr>
        <b/>
        <i/>
        <vertAlign val="subscript"/>
        <sz val="9"/>
        <rFont val="Times New Roman"/>
        <family val="1"/>
      </rPr>
      <t xml:space="preserve">pH </t>
    </r>
    <r>
      <rPr>
        <b/>
        <i/>
        <sz val="9"/>
        <rFont val="Times New Roman"/>
        <family val="1"/>
      </rPr>
      <t xml:space="preserve"> &lt;  F</t>
    </r>
    <r>
      <rPr>
        <b/>
        <i/>
        <vertAlign val="subscript"/>
        <sz val="9"/>
        <rFont val="Times New Roman"/>
        <family val="1"/>
      </rPr>
      <t xml:space="preserve">pH.min </t>
    </r>
    <r>
      <rPr>
        <b/>
        <i/>
        <sz val="9"/>
        <rFont val="바탕"/>
        <family val="1"/>
        <charset val="129"/>
      </rPr>
      <t>이므로</t>
    </r>
  </si>
  <si>
    <t>지반종류</t>
  </si>
  <si>
    <t>지반종류의 호칭</t>
  </si>
  <si>
    <r>
      <t>s</t>
    </r>
    <r>
      <rPr>
        <sz val="9"/>
        <rFont val="맑은 고딕"/>
        <family val="3"/>
        <charset val="129"/>
      </rPr>
      <t>≤</t>
    </r>
    <r>
      <rPr>
        <sz val="9"/>
        <rFont val="한컴돋움"/>
        <family val="1"/>
        <charset val="129"/>
      </rPr>
      <t>0.1</t>
    </r>
  </si>
  <si>
    <t>s=0.2</t>
  </si>
  <si>
    <t>s=0.3</t>
  </si>
  <si>
    <t>암반 지반</t>
  </si>
  <si>
    <t>등가정적하중에 기초한 수직설계지진력</t>
    <phoneticPr fontId="6" type="noConversion"/>
  </si>
  <si>
    <t>얕고 단단한 지반</t>
  </si>
  <si>
    <t>얕고 연약한 지반</t>
  </si>
  <si>
    <r>
      <t>F</t>
    </r>
    <r>
      <rPr>
        <b/>
        <i/>
        <vertAlign val="subscript"/>
        <sz val="9"/>
        <rFont val="Times New Roman"/>
        <family val="1"/>
      </rPr>
      <t>pV</t>
    </r>
  </si>
  <si>
    <r>
      <rPr>
        <b/>
        <i/>
        <sz val="9"/>
        <rFont val="바탕"/>
        <family val="1"/>
        <charset val="129"/>
      </rPr>
      <t>±</t>
    </r>
    <r>
      <rPr>
        <b/>
        <i/>
        <sz val="9"/>
        <rFont val="Times New Roman"/>
        <family val="1"/>
      </rPr>
      <t>0.2 × S</t>
    </r>
    <r>
      <rPr>
        <b/>
        <i/>
        <vertAlign val="subscript"/>
        <sz val="9"/>
        <rFont val="Times New Roman"/>
        <family val="1"/>
      </rPr>
      <t xml:space="preserve">DS </t>
    </r>
    <r>
      <rPr>
        <b/>
        <i/>
        <sz val="9"/>
        <rFont val="Times New Roman"/>
        <family val="1"/>
      </rPr>
      <t>× W</t>
    </r>
    <r>
      <rPr>
        <b/>
        <i/>
        <vertAlign val="subscript"/>
        <sz val="9"/>
        <rFont val="Times New Roman"/>
        <family val="1"/>
      </rPr>
      <t>P</t>
    </r>
  </si>
  <si>
    <t>깊고 단단한 지반</t>
  </si>
  <si>
    <t>깊고 연약한 지반(기반암의 깊이가 불분명한 경우, 110% 적용)</t>
  </si>
  <si>
    <r>
      <t xml:space="preserve">보성군 장성군 </t>
    </r>
    <r>
      <rPr>
        <b/>
        <sz val="9"/>
        <color rgb="FFFFFF00"/>
        <rFont val="한컴돋움"/>
        <family val="1"/>
        <charset val="129"/>
      </rPr>
      <t xml:space="preserve">광주시 </t>
    </r>
  </si>
  <si>
    <t>E.L</t>
  </si>
  <si>
    <r>
      <t>I</t>
    </r>
    <r>
      <rPr>
        <b/>
        <i/>
        <vertAlign val="subscript"/>
        <sz val="9"/>
        <rFont val="Times New Roman"/>
        <family val="1"/>
      </rPr>
      <t>X</t>
    </r>
  </si>
  <si>
    <r>
      <t>Z</t>
    </r>
    <r>
      <rPr>
        <b/>
        <i/>
        <vertAlign val="subscript"/>
        <sz val="9"/>
        <rFont val="Times New Roman"/>
        <family val="1"/>
      </rPr>
      <t>Y</t>
    </r>
  </si>
  <si>
    <r>
      <rPr>
        <b/>
        <sz val="9"/>
        <rFont val="Times New Roman"/>
        <family val="1"/>
      </rPr>
      <t xml:space="preserve">( </t>
    </r>
    <r>
      <rPr>
        <b/>
        <i/>
        <sz val="9"/>
        <rFont val="Times New Roman"/>
        <family val="1"/>
      </rPr>
      <t xml:space="preserve">Design Earthquake Load </t>
    </r>
    <r>
      <rPr>
        <b/>
        <sz val="9"/>
        <rFont val="Times New Roman"/>
        <family val="1"/>
      </rPr>
      <t>)</t>
    </r>
  </si>
  <si>
    <r>
      <t>I</t>
    </r>
    <r>
      <rPr>
        <b/>
        <i/>
        <vertAlign val="subscript"/>
        <sz val="9"/>
        <rFont val="Times New Roman"/>
        <family val="1"/>
      </rPr>
      <t>Y</t>
    </r>
  </si>
  <si>
    <r>
      <t>I</t>
    </r>
    <r>
      <rPr>
        <b/>
        <i/>
        <vertAlign val="subscript"/>
        <sz val="9"/>
        <rFont val="Times New Roman"/>
        <family val="1"/>
      </rPr>
      <t>Y.TOTAL</t>
    </r>
  </si>
  <si>
    <t>본 계산서는 견적용으로 참고 가능하며 실제 적용시 추가검토가 필요함.</t>
  </si>
  <si>
    <r>
      <t>( M</t>
    </r>
    <r>
      <rPr>
        <b/>
        <i/>
        <vertAlign val="subscript"/>
        <sz val="8"/>
        <rFont val="Times New Roman"/>
        <family val="1"/>
      </rPr>
      <t>D.L</t>
    </r>
    <r>
      <rPr>
        <b/>
        <i/>
        <sz val="8"/>
        <rFont val="Times New Roman"/>
        <family val="1"/>
      </rPr>
      <t xml:space="preserve"> / S</t>
    </r>
    <r>
      <rPr>
        <b/>
        <i/>
        <vertAlign val="subscript"/>
        <sz val="8"/>
        <rFont val="Times New Roman"/>
        <family val="1"/>
      </rPr>
      <t>X</t>
    </r>
    <r>
      <rPr>
        <b/>
        <i/>
        <sz val="8"/>
        <rFont val="Times New Roman"/>
        <family val="1"/>
      </rPr>
      <t xml:space="preserve"> )</t>
    </r>
  </si>
  <si>
    <t>6+6A+6</t>
  </si>
  <si>
    <t>MPa</t>
  </si>
  <si>
    <t>20m 이상</t>
  </si>
  <si>
    <r>
      <t xml:space="preserve">대한건축학회, 『 </t>
    </r>
    <r>
      <rPr>
        <b/>
        <sz val="9"/>
        <color rgb="FF0000FF"/>
        <rFont val="한컴돋움"/>
        <family val="1"/>
        <charset val="129"/>
      </rPr>
      <t>국토교통부 고시 건축물 설계하중 KDS 41 12 00 : 2022</t>
    </r>
    <r>
      <rPr>
        <b/>
        <sz val="9"/>
        <rFont val="한컴돋움"/>
        <family val="1"/>
        <charset val="129"/>
      </rPr>
      <t xml:space="preserve"> 』에 의거함</t>
    </r>
    <phoneticPr fontId="2" type="noConversion"/>
  </si>
  <si>
    <t>www.citywalleng.co.kr</t>
    <phoneticPr fontId="2" type="noConversion"/>
  </si>
  <si>
    <t>서울 특별시</t>
    <phoneticPr fontId="2" type="noConversion"/>
  </si>
  <si>
    <r>
      <t xml:space="preserve">풍향계수 ( </t>
    </r>
    <r>
      <rPr>
        <b/>
        <i/>
        <sz val="9"/>
        <color rgb="FF000000"/>
        <rFont val="한컴돋움"/>
        <family val="1"/>
        <charset val="129"/>
      </rPr>
      <t>K</t>
    </r>
    <r>
      <rPr>
        <b/>
        <i/>
        <vertAlign val="subscript"/>
        <sz val="9"/>
        <color rgb="FF000000"/>
        <rFont val="한컴돋움"/>
        <family val="1"/>
        <charset val="129"/>
      </rPr>
      <t>D</t>
    </r>
    <r>
      <rPr>
        <b/>
        <sz val="9"/>
        <color indexed="8"/>
        <rFont val="한컴돋움"/>
        <family val="1"/>
        <charset val="129"/>
      </rPr>
      <t xml:space="preserve"> )</t>
    </r>
    <phoneticPr fontId="2" type="noConversion"/>
  </si>
  <si>
    <r>
      <t>C</t>
    </r>
    <r>
      <rPr>
        <b/>
        <i/>
        <vertAlign val="subscript"/>
        <sz val="9"/>
        <color indexed="8"/>
        <rFont val="Times New Roman"/>
        <family val="1"/>
      </rPr>
      <t>pe</t>
    </r>
    <phoneticPr fontId="13" type="noConversion"/>
  </si>
  <si>
    <r>
      <t>C</t>
    </r>
    <r>
      <rPr>
        <b/>
        <i/>
        <vertAlign val="subscript"/>
        <sz val="9"/>
        <color indexed="8"/>
        <rFont val="Times New Roman"/>
        <family val="1"/>
      </rPr>
      <t>pi</t>
    </r>
    <phoneticPr fontId="13" type="noConversion"/>
  </si>
  <si>
    <r>
      <t>q</t>
    </r>
    <r>
      <rPr>
        <b/>
        <i/>
        <vertAlign val="subscript"/>
        <sz val="9"/>
        <rFont val="Times New Roman"/>
        <family val="1"/>
      </rPr>
      <t xml:space="preserve">H </t>
    </r>
    <r>
      <rPr>
        <b/>
        <i/>
        <sz val="9"/>
        <rFont val="Times New Roman"/>
        <family val="1"/>
      </rPr>
      <t>· ( k</t>
    </r>
    <r>
      <rPr>
        <b/>
        <i/>
        <vertAlign val="subscript"/>
        <sz val="9"/>
        <rFont val="Times New Roman"/>
        <family val="1"/>
      </rPr>
      <t>z</t>
    </r>
    <r>
      <rPr>
        <b/>
        <i/>
        <sz val="9"/>
        <rFont val="Times New Roman"/>
        <family val="1"/>
      </rPr>
      <t xml:space="preserve"> · C</t>
    </r>
    <r>
      <rPr>
        <b/>
        <i/>
        <vertAlign val="subscript"/>
        <sz val="9"/>
        <rFont val="Times New Roman"/>
        <family val="1"/>
      </rPr>
      <t>pe</t>
    </r>
    <r>
      <rPr>
        <b/>
        <i/>
        <sz val="9"/>
        <rFont val="Times New Roman"/>
        <family val="1"/>
      </rPr>
      <t xml:space="preserve"> - C</t>
    </r>
    <r>
      <rPr>
        <b/>
        <i/>
        <vertAlign val="subscript"/>
        <sz val="9"/>
        <rFont val="Times New Roman"/>
        <family val="1"/>
      </rPr>
      <t xml:space="preserve">pi </t>
    </r>
    <r>
      <rPr>
        <b/>
        <i/>
        <sz val="9"/>
        <rFont val="Times New Roman"/>
        <family val="1"/>
      </rPr>
      <t>)</t>
    </r>
    <phoneticPr fontId="2" type="noConversion"/>
  </si>
  <si>
    <r>
      <t>q</t>
    </r>
    <r>
      <rPr>
        <b/>
        <i/>
        <vertAlign val="subscript"/>
        <sz val="9"/>
        <rFont val="Times New Roman"/>
        <family val="1"/>
      </rPr>
      <t xml:space="preserve">H </t>
    </r>
    <r>
      <rPr>
        <b/>
        <i/>
        <sz val="9"/>
        <rFont val="Times New Roman"/>
        <family val="1"/>
      </rPr>
      <t>· ( C</t>
    </r>
    <r>
      <rPr>
        <b/>
        <i/>
        <vertAlign val="subscript"/>
        <sz val="9"/>
        <rFont val="Times New Roman"/>
        <family val="1"/>
      </rPr>
      <t>pe</t>
    </r>
    <r>
      <rPr>
        <b/>
        <i/>
        <sz val="9"/>
        <rFont val="Times New Roman"/>
        <family val="1"/>
      </rPr>
      <t xml:space="preserve"> - C</t>
    </r>
    <r>
      <rPr>
        <b/>
        <i/>
        <vertAlign val="subscript"/>
        <sz val="9"/>
        <rFont val="Times New Roman"/>
        <family val="1"/>
      </rPr>
      <t xml:space="preserve">pi </t>
    </r>
    <r>
      <rPr>
        <b/>
        <i/>
        <sz val="9"/>
        <rFont val="Times New Roman"/>
        <family val="1"/>
      </rPr>
      <t>)</t>
    </r>
    <phoneticPr fontId="2" type="noConversion"/>
  </si>
  <si>
    <r>
      <rPr>
        <b/>
        <i/>
        <sz val="8"/>
        <color theme="1"/>
        <rFont val="Times New Roman"/>
        <family val="1"/>
      </rPr>
      <t>a</t>
    </r>
    <r>
      <rPr>
        <b/>
        <sz val="8"/>
        <color theme="1"/>
        <rFont val="한컴돋움"/>
        <family val="1"/>
        <charset val="129"/>
      </rPr>
      <t xml:space="preserve"> : 건축물 최소폭의 0.1배, 단 1.0m보다 작지 않아야 한다.</t>
    </r>
    <phoneticPr fontId="13" type="noConversion"/>
  </si>
  <si>
    <r>
      <t xml:space="preserve">[ 벽면 피크외압계수 </t>
    </r>
    <r>
      <rPr>
        <b/>
        <i/>
        <sz val="9"/>
        <color theme="1"/>
        <rFont val="Times New Roman"/>
        <family val="1"/>
      </rPr>
      <t>C</t>
    </r>
    <r>
      <rPr>
        <b/>
        <i/>
        <vertAlign val="subscript"/>
        <sz val="9"/>
        <color theme="1"/>
        <rFont val="Times New Roman"/>
        <family val="1"/>
      </rPr>
      <t>pe</t>
    </r>
    <r>
      <rPr>
        <b/>
        <sz val="9"/>
        <color theme="1"/>
        <rFont val="한컴돋움"/>
        <family val="1"/>
        <charset val="129"/>
      </rPr>
      <t xml:space="preserve"> ]</t>
    </r>
    <phoneticPr fontId="2" type="noConversion"/>
  </si>
  <si>
    <r>
      <t>V</t>
    </r>
    <r>
      <rPr>
        <b/>
        <i/>
        <vertAlign val="subscript"/>
        <sz val="8"/>
        <color indexed="8"/>
        <rFont val="Times New Roman"/>
        <family val="1"/>
      </rPr>
      <t>0</t>
    </r>
    <r>
      <rPr>
        <b/>
        <sz val="8"/>
        <color indexed="8"/>
        <rFont val="Times New Roman"/>
        <family val="1"/>
      </rPr>
      <t xml:space="preserve"> × K</t>
    </r>
    <r>
      <rPr>
        <b/>
        <vertAlign val="subscript"/>
        <sz val="8"/>
        <color rgb="FF000000"/>
        <rFont val="Times New Roman"/>
        <family val="1"/>
      </rPr>
      <t>D</t>
    </r>
    <r>
      <rPr>
        <b/>
        <sz val="8"/>
        <color indexed="8"/>
        <rFont val="Times New Roman"/>
        <family val="1"/>
      </rPr>
      <t xml:space="preserve"> × </t>
    </r>
    <r>
      <rPr>
        <b/>
        <i/>
        <sz val="8"/>
        <color indexed="8"/>
        <rFont val="Times New Roman"/>
        <family val="1"/>
      </rPr>
      <t>K</t>
    </r>
    <r>
      <rPr>
        <b/>
        <i/>
        <vertAlign val="subscript"/>
        <sz val="8"/>
        <color indexed="8"/>
        <rFont val="Times New Roman"/>
        <family val="1"/>
      </rPr>
      <t>zr</t>
    </r>
    <r>
      <rPr>
        <b/>
        <i/>
        <sz val="8"/>
        <color indexed="8"/>
        <rFont val="Times New Roman"/>
        <family val="1"/>
      </rPr>
      <t xml:space="preserve"> × K</t>
    </r>
    <r>
      <rPr>
        <b/>
        <i/>
        <vertAlign val="subscript"/>
        <sz val="8"/>
        <color indexed="8"/>
        <rFont val="Times New Roman"/>
        <family val="1"/>
      </rPr>
      <t>zt</t>
    </r>
    <r>
      <rPr>
        <b/>
        <i/>
        <sz val="8"/>
        <color indexed="8"/>
        <rFont val="Times New Roman"/>
        <family val="1"/>
      </rPr>
      <t xml:space="preserve"> × I</t>
    </r>
    <r>
      <rPr>
        <b/>
        <i/>
        <vertAlign val="subscript"/>
        <sz val="8"/>
        <color indexed="8"/>
        <rFont val="Times New Roman"/>
        <family val="1"/>
      </rPr>
      <t>w</t>
    </r>
    <phoneticPr fontId="13" type="noConversion"/>
  </si>
  <si>
    <r>
      <t xml:space="preserve">기준 높이 ( </t>
    </r>
    <r>
      <rPr>
        <b/>
        <i/>
        <sz val="9"/>
        <rFont val="Times New Roman"/>
        <family val="1"/>
      </rPr>
      <t xml:space="preserve">Z </t>
    </r>
    <r>
      <rPr>
        <b/>
        <sz val="9"/>
        <rFont val="한컴돋움"/>
        <family val="1"/>
        <charset val="129"/>
      </rPr>
      <t>)</t>
    </r>
  </si>
  <si>
    <r>
      <t xml:space="preserve">기본풍속 ( </t>
    </r>
    <r>
      <rPr>
        <b/>
        <i/>
        <sz val="9"/>
        <rFont val="Times New Roman"/>
        <family val="1"/>
      </rPr>
      <t>V</t>
    </r>
    <r>
      <rPr>
        <b/>
        <i/>
        <vertAlign val="subscript"/>
        <sz val="9"/>
        <rFont val="Times New Roman"/>
        <family val="1"/>
      </rPr>
      <t>0</t>
    </r>
    <r>
      <rPr>
        <b/>
        <sz val="9"/>
        <rFont val="한컴돋움"/>
        <family val="1"/>
        <charset val="129"/>
      </rPr>
      <t xml:space="preserve"> )</t>
    </r>
  </si>
  <si>
    <t>지표면 조도 C 또는 D</t>
  </si>
  <si>
    <r>
      <t xml:space="preserve">지형계수 ( </t>
    </r>
    <r>
      <rPr>
        <b/>
        <i/>
        <sz val="9"/>
        <rFont val="Times New Roman"/>
        <family val="1"/>
      </rPr>
      <t>K</t>
    </r>
    <r>
      <rPr>
        <b/>
        <i/>
        <vertAlign val="subscript"/>
        <sz val="9"/>
        <rFont val="Times New Roman"/>
        <family val="1"/>
      </rPr>
      <t>zt</t>
    </r>
    <r>
      <rPr>
        <b/>
        <sz val="9"/>
        <rFont val="한컴돋움"/>
        <family val="1"/>
        <charset val="129"/>
      </rPr>
      <t xml:space="preserve"> )</t>
    </r>
  </si>
  <si>
    <r>
      <t xml:space="preserve">중요도계수 ( </t>
    </r>
    <r>
      <rPr>
        <b/>
        <i/>
        <sz val="9"/>
        <rFont val="Times New Roman"/>
        <family val="1"/>
      </rPr>
      <t>I</t>
    </r>
    <r>
      <rPr>
        <b/>
        <i/>
        <vertAlign val="subscript"/>
        <sz val="9"/>
        <rFont val="Times New Roman"/>
        <family val="1"/>
      </rPr>
      <t xml:space="preserve">w </t>
    </r>
    <r>
      <rPr>
        <b/>
        <sz val="9"/>
        <rFont val="한컴돋움"/>
        <family val="1"/>
        <charset val="129"/>
      </rPr>
      <t>)</t>
    </r>
  </si>
  <si>
    <r>
      <t xml:space="preserve">유효 수압면적 ( </t>
    </r>
    <r>
      <rPr>
        <b/>
        <i/>
        <sz val="9"/>
        <rFont val="Times New Roman"/>
        <family val="1"/>
      </rPr>
      <t xml:space="preserve">A </t>
    </r>
    <r>
      <rPr>
        <b/>
        <sz val="9"/>
        <rFont val="한컴돋움"/>
        <family val="1"/>
        <charset val="129"/>
      </rPr>
      <t>)</t>
    </r>
  </si>
  <si>
    <r>
      <rPr>
        <b/>
        <i/>
        <sz val="9"/>
        <rFont val="Times New Roman"/>
        <family val="1"/>
      </rPr>
      <t>q</t>
    </r>
    <r>
      <rPr>
        <b/>
        <i/>
        <vertAlign val="subscript"/>
        <sz val="9"/>
        <rFont val="Times New Roman"/>
        <family val="1"/>
      </rPr>
      <t>H</t>
    </r>
  </si>
  <si>
    <r>
      <t>C</t>
    </r>
    <r>
      <rPr>
        <b/>
        <i/>
        <vertAlign val="subscript"/>
        <sz val="9"/>
        <rFont val="Times New Roman"/>
        <family val="1"/>
      </rPr>
      <t>pe</t>
    </r>
    <phoneticPr fontId="2" type="noConversion"/>
  </si>
  <si>
    <r>
      <t>C</t>
    </r>
    <r>
      <rPr>
        <b/>
        <i/>
        <vertAlign val="subscript"/>
        <sz val="9"/>
        <rFont val="Times New Roman"/>
        <family val="1"/>
      </rPr>
      <t>pi</t>
    </r>
    <phoneticPr fontId="2" type="noConversion"/>
  </si>
  <si>
    <r>
      <t>P</t>
    </r>
    <r>
      <rPr>
        <b/>
        <i/>
        <vertAlign val="subscript"/>
        <sz val="9"/>
        <rFont val="Times New Roman"/>
        <family val="1"/>
      </rPr>
      <t>C</t>
    </r>
    <r>
      <rPr>
        <b/>
        <i/>
        <sz val="9"/>
        <rFont val="Times New Roman"/>
        <family val="1"/>
      </rPr>
      <t xml:space="preserve"> </t>
    </r>
    <r>
      <rPr>
        <b/>
        <sz val="9"/>
        <rFont val="Times New Roman"/>
        <family val="1"/>
      </rPr>
      <t>( kPa )</t>
    </r>
  </si>
  <si>
    <r>
      <t>P</t>
    </r>
    <r>
      <rPr>
        <b/>
        <i/>
        <vertAlign val="subscript"/>
        <sz val="9"/>
        <rFont val="Times New Roman"/>
        <family val="1"/>
      </rPr>
      <t xml:space="preserve">C </t>
    </r>
  </si>
  <si>
    <r>
      <rPr>
        <b/>
        <i/>
        <sz val="8"/>
        <rFont val="Times New Roman"/>
        <family val="1"/>
      </rPr>
      <t>a</t>
    </r>
    <r>
      <rPr>
        <b/>
        <sz val="8"/>
        <rFont val="한컴돋움"/>
        <family val="1"/>
        <charset val="129"/>
      </rPr>
      <t xml:space="preserve"> : 건축물 최소폭의 0.1배 혹은 0.4H 중 작은값.</t>
    </r>
    <phoneticPr fontId="2" type="noConversion"/>
  </si>
  <si>
    <r>
      <t xml:space="preserve">[ 벽면 피크외압계수 </t>
    </r>
    <r>
      <rPr>
        <b/>
        <i/>
        <sz val="9"/>
        <rFont val="Times New Roman"/>
        <family val="1"/>
      </rPr>
      <t>C</t>
    </r>
    <r>
      <rPr>
        <b/>
        <i/>
        <vertAlign val="subscript"/>
        <sz val="9"/>
        <rFont val="Times New Roman"/>
        <family val="1"/>
      </rPr>
      <t>pe</t>
    </r>
    <r>
      <rPr>
        <b/>
        <sz val="9"/>
        <rFont val="한컴돋움"/>
        <family val="1"/>
        <charset val="129"/>
      </rPr>
      <t xml:space="preserve"> ]</t>
    </r>
    <phoneticPr fontId="2" type="noConversion"/>
  </si>
  <si>
    <t xml:space="preserve">    (단, 최소폭의 0.04배 또는 1.0m보다 작지 않아야 한다.)</t>
    <phoneticPr fontId="2" type="noConversion"/>
  </si>
  <si>
    <r>
      <rPr>
        <b/>
        <i/>
        <sz val="8"/>
        <rFont val="한컴돋움"/>
        <family val="1"/>
        <charset val="129"/>
      </rPr>
      <t>θ</t>
    </r>
    <r>
      <rPr>
        <b/>
        <sz val="8"/>
        <rFont val="한컴돋움"/>
        <family val="1"/>
        <charset val="129"/>
      </rPr>
      <t xml:space="preserve"> ≤ 10˚ 이하인 경우는 벽면의 </t>
    </r>
    <r>
      <rPr>
        <b/>
        <i/>
        <sz val="8"/>
        <rFont val="Times New Roman"/>
        <family val="1"/>
      </rPr>
      <t>C</t>
    </r>
    <r>
      <rPr>
        <b/>
        <i/>
        <vertAlign val="subscript"/>
        <sz val="8"/>
        <rFont val="Times New Roman"/>
        <family val="1"/>
      </rPr>
      <t>pe</t>
    </r>
    <r>
      <rPr>
        <b/>
        <sz val="8"/>
        <rFont val="한컴돋움"/>
        <family val="1"/>
        <charset val="129"/>
      </rPr>
      <t xml:space="preserve"> 값을 10% 줄일 수 있다.</t>
    </r>
    <phoneticPr fontId="2" type="noConversion"/>
  </si>
  <si>
    <r>
      <t xml:space="preserve">Design Wind Velocity ( </t>
    </r>
    <r>
      <rPr>
        <b/>
        <i/>
        <sz val="10"/>
        <rFont val="Times New Roman"/>
        <family val="1"/>
      </rPr>
      <t>V</t>
    </r>
    <r>
      <rPr>
        <b/>
        <i/>
        <vertAlign val="subscript"/>
        <sz val="10"/>
        <rFont val="Times New Roman"/>
        <family val="1"/>
      </rPr>
      <t>H</t>
    </r>
    <r>
      <rPr>
        <b/>
        <vertAlign val="subscript"/>
        <sz val="10"/>
        <rFont val="한컴돋움"/>
        <family val="1"/>
        <charset val="129"/>
      </rPr>
      <t xml:space="preserve"> </t>
    </r>
    <r>
      <rPr>
        <b/>
        <sz val="10"/>
        <rFont val="한컴돋움"/>
        <family val="1"/>
        <charset val="129"/>
      </rPr>
      <t>)</t>
    </r>
  </si>
  <si>
    <r>
      <t>K</t>
    </r>
    <r>
      <rPr>
        <b/>
        <i/>
        <vertAlign val="subscript"/>
        <sz val="9"/>
        <rFont val="Times New Roman"/>
        <family val="1"/>
      </rPr>
      <t>zr</t>
    </r>
  </si>
  <si>
    <r>
      <t>·  Z</t>
    </r>
    <r>
      <rPr>
        <b/>
        <i/>
        <vertAlign val="superscript"/>
        <sz val="11"/>
        <rFont val="Times New Roman"/>
        <family val="1"/>
      </rPr>
      <t>α</t>
    </r>
  </si>
  <si>
    <r>
      <t>Z</t>
    </r>
    <r>
      <rPr>
        <b/>
        <i/>
        <vertAlign val="subscript"/>
        <sz val="9"/>
        <rFont val="Times New Roman"/>
        <family val="1"/>
      </rPr>
      <t>b</t>
    </r>
  </si>
  <si>
    <r>
      <t>Z</t>
    </r>
    <r>
      <rPr>
        <b/>
        <i/>
        <vertAlign val="subscript"/>
        <sz val="9"/>
        <rFont val="Times New Roman"/>
        <family val="1"/>
      </rPr>
      <t>g</t>
    </r>
  </si>
  <si>
    <r>
      <t>V</t>
    </r>
    <r>
      <rPr>
        <b/>
        <i/>
        <vertAlign val="subscript"/>
        <sz val="9"/>
        <rFont val="Times New Roman"/>
        <family val="1"/>
      </rPr>
      <t>H</t>
    </r>
  </si>
  <si>
    <r>
      <t>V</t>
    </r>
    <r>
      <rPr>
        <b/>
        <i/>
        <vertAlign val="subscript"/>
        <sz val="8"/>
        <rFont val="Times New Roman"/>
        <family val="1"/>
      </rPr>
      <t>0</t>
    </r>
    <r>
      <rPr>
        <b/>
        <i/>
        <sz val="8"/>
        <rFont val="Times New Roman"/>
        <family val="1"/>
      </rPr>
      <t xml:space="preserve"> × K</t>
    </r>
    <r>
      <rPr>
        <b/>
        <i/>
        <vertAlign val="subscript"/>
        <sz val="8"/>
        <rFont val="Times New Roman"/>
        <family val="1"/>
      </rPr>
      <t>D</t>
    </r>
    <r>
      <rPr>
        <b/>
        <i/>
        <sz val="8"/>
        <rFont val="Times New Roman"/>
        <family val="1"/>
      </rPr>
      <t xml:space="preserve"> × K</t>
    </r>
    <r>
      <rPr>
        <b/>
        <i/>
        <vertAlign val="subscript"/>
        <sz val="8"/>
        <rFont val="Times New Roman"/>
        <family val="1"/>
      </rPr>
      <t>zr</t>
    </r>
    <r>
      <rPr>
        <b/>
        <i/>
        <sz val="8"/>
        <rFont val="Times New Roman"/>
        <family val="1"/>
      </rPr>
      <t xml:space="preserve"> × K</t>
    </r>
    <r>
      <rPr>
        <b/>
        <i/>
        <vertAlign val="subscript"/>
        <sz val="8"/>
        <rFont val="Times New Roman"/>
        <family val="1"/>
      </rPr>
      <t>zt</t>
    </r>
    <r>
      <rPr>
        <b/>
        <i/>
        <sz val="8"/>
        <rFont val="Times New Roman"/>
        <family val="1"/>
      </rPr>
      <t xml:space="preserve"> × I</t>
    </r>
    <r>
      <rPr>
        <b/>
        <i/>
        <vertAlign val="subscript"/>
        <sz val="8"/>
        <rFont val="Times New Roman"/>
        <family val="1"/>
      </rPr>
      <t>w</t>
    </r>
    <phoneticPr fontId="2" type="noConversion"/>
  </si>
  <si>
    <r>
      <t xml:space="preserve">Design Velocity Pressure ( </t>
    </r>
    <r>
      <rPr>
        <b/>
        <i/>
        <sz val="10"/>
        <rFont val="Times New Roman"/>
        <family val="1"/>
      </rPr>
      <t>q</t>
    </r>
    <r>
      <rPr>
        <b/>
        <i/>
        <vertAlign val="subscript"/>
        <sz val="10"/>
        <rFont val="Times New Roman"/>
        <family val="1"/>
      </rPr>
      <t>H</t>
    </r>
    <r>
      <rPr>
        <b/>
        <vertAlign val="subscript"/>
        <sz val="10"/>
        <rFont val="한컴돋움"/>
        <family val="1"/>
        <charset val="129"/>
      </rPr>
      <t xml:space="preserve"> </t>
    </r>
    <r>
      <rPr>
        <b/>
        <sz val="10"/>
        <rFont val="한컴돋움"/>
        <family val="1"/>
        <charset val="129"/>
      </rPr>
      <t>)</t>
    </r>
  </si>
  <si>
    <r>
      <t>1 / 2 · ρ · V</t>
    </r>
    <r>
      <rPr>
        <b/>
        <i/>
        <vertAlign val="subscript"/>
        <sz val="9"/>
        <rFont val="Times New Roman"/>
        <family val="1"/>
      </rPr>
      <t>H</t>
    </r>
    <r>
      <rPr>
        <b/>
        <i/>
        <vertAlign val="superscript"/>
        <sz val="9"/>
        <rFont val="Times New Roman"/>
        <family val="1"/>
      </rPr>
      <t>2</t>
    </r>
  </si>
  <si>
    <r>
      <t>N/m</t>
    </r>
    <r>
      <rPr>
        <b/>
        <vertAlign val="superscript"/>
        <sz val="9"/>
        <rFont val="한컴돋움"/>
        <family val="1"/>
        <charset val="129"/>
      </rPr>
      <t>2</t>
    </r>
  </si>
  <si>
    <r>
      <t>kg/m</t>
    </r>
    <r>
      <rPr>
        <b/>
        <vertAlign val="superscript"/>
        <sz val="9"/>
        <rFont val="한컴돋움"/>
        <family val="1"/>
        <charset val="129"/>
      </rPr>
      <t>3</t>
    </r>
  </si>
  <si>
    <t>20m 미만 / 지표면 조도 C 또는 D</t>
    <phoneticPr fontId="2" type="noConversion"/>
  </si>
  <si>
    <r>
      <t>0.65*5 w L</t>
    </r>
    <r>
      <rPr>
        <b/>
        <i/>
        <vertAlign val="superscript"/>
        <sz val="9"/>
        <rFont val="Times New Roman"/>
        <family val="1"/>
      </rPr>
      <t>4</t>
    </r>
    <r>
      <rPr>
        <b/>
        <i/>
        <sz val="9"/>
        <rFont val="Times New Roman"/>
        <family val="1"/>
      </rPr>
      <t xml:space="preserve"> / 384 EI</t>
    </r>
    <phoneticPr fontId="2" type="noConversion"/>
  </si>
  <si>
    <r>
      <t>0.65*w L</t>
    </r>
    <r>
      <rPr>
        <b/>
        <i/>
        <vertAlign val="superscript"/>
        <sz val="9"/>
        <rFont val="Times New Roman"/>
        <family val="1"/>
      </rPr>
      <t>2</t>
    </r>
    <r>
      <rPr>
        <b/>
        <i/>
        <sz val="9"/>
        <rFont val="Times New Roman"/>
        <family val="1"/>
      </rPr>
      <t xml:space="preserve"> / 8</t>
    </r>
    <phoneticPr fontId="2" type="noConversion"/>
  </si>
  <si>
    <r>
      <t>M</t>
    </r>
    <r>
      <rPr>
        <b/>
        <i/>
        <vertAlign val="subscript"/>
        <sz val="9"/>
        <rFont val="Times New Roman"/>
        <family val="1"/>
      </rPr>
      <t>MAX</t>
    </r>
    <r>
      <rPr>
        <b/>
        <i/>
        <sz val="9"/>
        <rFont val="Times New Roman"/>
        <family val="1"/>
      </rPr>
      <t xml:space="preserve">  /  Z</t>
    </r>
    <r>
      <rPr>
        <b/>
        <i/>
        <vertAlign val="subscript"/>
        <sz val="9"/>
        <rFont val="Times New Roman"/>
        <family val="1"/>
      </rPr>
      <t>X</t>
    </r>
    <phoneticPr fontId="2" type="noConversion"/>
  </si>
  <si>
    <r>
      <t xml:space="preserve">『 </t>
    </r>
    <r>
      <rPr>
        <b/>
        <sz val="9"/>
        <color rgb="FF0000FF"/>
        <rFont val="한컴돋움"/>
        <family val="1"/>
        <charset val="129"/>
      </rPr>
      <t>국토교통부 고시 건축물 설계하중 KDS 41 12 00 : 2022</t>
    </r>
    <r>
      <rPr>
        <b/>
        <sz val="9"/>
        <rFont val="한컴돋움"/>
        <family val="1"/>
        <charset val="129"/>
      </rPr>
      <t xml:space="preserve"> 』에 의거함</t>
    </r>
    <phoneticPr fontId="2" type="noConversion"/>
  </si>
  <si>
    <t>MODELING</t>
    <phoneticPr fontId="2" type="noConversion"/>
  </si>
  <si>
    <t>0.65*w</t>
    <phoneticPr fontId="2" type="noConversion"/>
  </si>
  <si>
    <r>
      <t>0.65*( M</t>
    </r>
    <r>
      <rPr>
        <b/>
        <i/>
        <vertAlign val="subscript"/>
        <sz val="8"/>
        <rFont val="Times New Roman"/>
        <family val="1"/>
      </rPr>
      <t>W.L 1</t>
    </r>
    <r>
      <rPr>
        <b/>
        <i/>
        <sz val="8"/>
        <rFont val="Times New Roman"/>
        <family val="1"/>
      </rPr>
      <t xml:space="preserve"> +  M</t>
    </r>
    <r>
      <rPr>
        <b/>
        <i/>
        <vertAlign val="subscript"/>
        <sz val="8"/>
        <rFont val="Times New Roman"/>
        <family val="1"/>
      </rPr>
      <t>W.L 2</t>
    </r>
    <r>
      <rPr>
        <b/>
        <i/>
        <sz val="8"/>
        <rFont val="Times New Roman"/>
        <family val="1"/>
      </rPr>
      <t xml:space="preserve"> )</t>
    </r>
    <phoneticPr fontId="2" type="noConversion"/>
  </si>
  <si>
    <r>
      <t>0.65*( δ</t>
    </r>
    <r>
      <rPr>
        <b/>
        <i/>
        <vertAlign val="subscript"/>
        <sz val="8"/>
        <rFont val="Times New Roman"/>
        <family val="1"/>
      </rPr>
      <t>1</t>
    </r>
    <r>
      <rPr>
        <b/>
        <i/>
        <sz val="8"/>
        <rFont val="Times New Roman"/>
        <family val="1"/>
      </rPr>
      <t xml:space="preserve"> +  δ</t>
    </r>
    <r>
      <rPr>
        <b/>
        <i/>
        <vertAlign val="subscript"/>
        <sz val="8"/>
        <rFont val="Times New Roman"/>
        <family val="1"/>
      </rPr>
      <t>2</t>
    </r>
    <r>
      <rPr>
        <b/>
        <i/>
        <sz val="8"/>
        <rFont val="한컴돋움"/>
        <family val="1"/>
        <charset val="129"/>
      </rPr>
      <t xml:space="preserve"> )</t>
    </r>
    <phoneticPr fontId="2" type="noConversion"/>
  </si>
  <si>
    <r>
      <t>M</t>
    </r>
    <r>
      <rPr>
        <b/>
        <i/>
        <vertAlign val="subscript"/>
        <sz val="8"/>
        <rFont val="Times New Roman"/>
        <family val="1"/>
      </rPr>
      <t>W.L</t>
    </r>
    <r>
      <rPr>
        <b/>
        <i/>
        <sz val="8"/>
        <rFont val="Times New Roman"/>
        <family val="1"/>
      </rPr>
      <t xml:space="preserve">  /  S</t>
    </r>
    <r>
      <rPr>
        <b/>
        <i/>
        <vertAlign val="subscript"/>
        <sz val="8"/>
        <rFont val="Times New Roman"/>
        <family val="1"/>
      </rPr>
      <t>Y</t>
    </r>
    <phoneticPr fontId="2" type="noConversion"/>
  </si>
  <si>
    <r>
      <t>0.65*w</t>
    </r>
    <r>
      <rPr>
        <b/>
        <i/>
        <vertAlign val="subscript"/>
        <sz val="9"/>
        <rFont val="Times New Roman"/>
        <family val="1"/>
      </rPr>
      <t>1</t>
    </r>
    <phoneticPr fontId="2" type="noConversion"/>
  </si>
  <si>
    <r>
      <t>0.65w</t>
    </r>
    <r>
      <rPr>
        <b/>
        <i/>
        <vertAlign val="subscript"/>
        <sz val="9"/>
        <rFont val="Times New Roman"/>
        <family val="1"/>
      </rPr>
      <t>2</t>
    </r>
    <phoneticPr fontId="2" type="noConversion"/>
  </si>
  <si>
    <r>
      <t>0.65*w</t>
    </r>
    <r>
      <rPr>
        <b/>
        <i/>
        <vertAlign val="subscript"/>
        <sz val="9"/>
        <rFont val="Times New Roman"/>
        <family val="1"/>
      </rPr>
      <t>2</t>
    </r>
    <phoneticPr fontId="2" type="noConversion"/>
  </si>
  <si>
    <t>서귀포시 제주시 성산포</t>
    <phoneticPr fontId="1" type="noConversion"/>
  </si>
  <si>
    <t>제주도</t>
    <phoneticPr fontId="1" type="noConversion"/>
  </si>
  <si>
    <t>담양군 곡성군 구례군 화순군</t>
    <phoneticPr fontId="1" type="noConversion"/>
  </si>
  <si>
    <t>전남</t>
    <phoneticPr fontId="1" type="noConversion"/>
  </si>
  <si>
    <t>순천시 광양시</t>
    <phoneticPr fontId="1" type="noConversion"/>
  </si>
  <si>
    <t>영광군 함평군 나주시</t>
    <phoneticPr fontId="1" type="noConversion"/>
  </si>
  <si>
    <t>목포시 영암군 강진군</t>
    <phoneticPr fontId="1" type="noConversion"/>
  </si>
  <si>
    <t>진도군 여수시 고흥군 신안군 무안군 장흥군</t>
    <phoneticPr fontId="1" type="noConversion"/>
  </si>
  <si>
    <t>완도군 해남군</t>
    <phoneticPr fontId="1" type="noConversion"/>
  </si>
  <si>
    <t>무주군 진안군 장수군 임실군 정읍시 순창군 남원시</t>
    <phoneticPr fontId="1" type="noConversion"/>
  </si>
  <si>
    <t>전북</t>
    <phoneticPr fontId="1" type="noConversion"/>
  </si>
  <si>
    <t>완주군 전주시</t>
    <phoneticPr fontId="1" type="noConversion"/>
  </si>
  <si>
    <t>익산시 김제시 고창군</t>
    <phoneticPr fontId="1" type="noConversion"/>
  </si>
  <si>
    <t>부안군 군산시</t>
    <phoneticPr fontId="1" type="noConversion"/>
  </si>
  <si>
    <t>의령군 거창군 산청군 합천군 함양군</t>
    <phoneticPr fontId="1" type="noConversion"/>
  </si>
  <si>
    <t>경남</t>
    <phoneticPr fontId="1" type="noConversion"/>
  </si>
  <si>
    <t>함안군 창녕군 진주시</t>
    <phoneticPr fontId="1" type="noConversion"/>
  </si>
  <si>
    <t>밀양시 하동군</t>
    <phoneticPr fontId="1" type="noConversion"/>
  </si>
  <si>
    <t>창원시 사천시</t>
    <phoneticPr fontId="1" type="noConversion"/>
  </si>
  <si>
    <t>고성군</t>
    <phoneticPr fontId="1" type="noConversion"/>
  </si>
  <si>
    <t>양산시 김해시 남해군</t>
    <phoneticPr fontId="1" type="noConversion"/>
  </si>
  <si>
    <t>통영시 거제시</t>
    <phoneticPr fontId="1" type="noConversion"/>
  </si>
  <si>
    <t>기장군</t>
    <phoneticPr fontId="1" type="noConversion"/>
  </si>
  <si>
    <t>부산광역시</t>
    <phoneticPr fontId="1" type="noConversion"/>
  </si>
  <si>
    <t>부산시</t>
    <phoneticPr fontId="1" type="noConversion"/>
  </si>
  <si>
    <t>봉화군 영주시 예천군 문경시 상주시 추풍령 안동시 의성군 구미시 김천시</t>
    <phoneticPr fontId="1" type="noConversion"/>
  </si>
  <si>
    <t>경북</t>
    <phoneticPr fontId="1" type="noConversion"/>
  </si>
  <si>
    <t>영양군 군위군 칠곡군 성주군 달성군 고령군</t>
    <phoneticPr fontId="1" type="noConversion"/>
  </si>
  <si>
    <t>청송군 대구시 경산시 청도군</t>
    <phoneticPr fontId="1" type="noConversion"/>
  </si>
  <si>
    <t>울진군 영천시</t>
    <phoneticPr fontId="1" type="noConversion"/>
  </si>
  <si>
    <t>영덕군</t>
    <phoneticPr fontId="1" type="noConversion"/>
  </si>
  <si>
    <t>울주군</t>
    <phoneticPr fontId="1" type="noConversion"/>
  </si>
  <si>
    <t>울산광역시</t>
    <phoneticPr fontId="1" type="noConversion"/>
  </si>
  <si>
    <t>울산시</t>
    <phoneticPr fontId="1" type="noConversion"/>
  </si>
  <si>
    <t>포항시 경주시</t>
    <phoneticPr fontId="1" type="noConversion"/>
  </si>
  <si>
    <t>울릉군 독도</t>
    <phoneticPr fontId="1" type="noConversion"/>
  </si>
  <si>
    <t xml:space="preserve">천안시 청양군 논산시 금산군 </t>
    <phoneticPr fontId="1" type="noConversion"/>
  </si>
  <si>
    <t>충남</t>
    <phoneticPr fontId="1" type="noConversion"/>
  </si>
  <si>
    <t>아산시 계룡시</t>
    <phoneticPr fontId="1" type="noConversion"/>
  </si>
  <si>
    <t>예산군 대전시 공주시 부여군</t>
    <phoneticPr fontId="1" type="noConversion"/>
  </si>
  <si>
    <t xml:space="preserve">서천군 보령시 홍성군 </t>
    <phoneticPr fontId="1" type="noConversion"/>
  </si>
  <si>
    <t>당진시</t>
    <phoneticPr fontId="1" type="noConversion"/>
  </si>
  <si>
    <t>서산시 태안군</t>
    <phoneticPr fontId="1" type="noConversion"/>
  </si>
  <si>
    <t>증평군 음성군 충주시 제천시 단양군 괴산군 보은군 영동군 옥천군</t>
    <phoneticPr fontId="1" type="noConversion"/>
  </si>
  <si>
    <t>충북</t>
    <phoneticPr fontId="1" type="noConversion"/>
  </si>
  <si>
    <t>세종시</t>
    <phoneticPr fontId="1" type="noConversion"/>
  </si>
  <si>
    <t>진천군</t>
    <phoneticPr fontId="1" type="noConversion"/>
  </si>
  <si>
    <t>청주시</t>
    <phoneticPr fontId="1" type="noConversion"/>
  </si>
  <si>
    <t>강원도</t>
    <phoneticPr fontId="1" type="noConversion"/>
  </si>
  <si>
    <t>안성시 연천군 여주시 이천시</t>
    <phoneticPr fontId="1" type="noConversion"/>
  </si>
  <si>
    <t>경기도</t>
    <phoneticPr fontId="1" type="noConversion"/>
  </si>
  <si>
    <t xml:space="preserve">고양시 안양시 과천시 광명시 의정부시 동두천시 양주시 파주시 </t>
    <phoneticPr fontId="1" type="noConversion"/>
  </si>
  <si>
    <t>서울시 김포시 구리시 수원시 군포시 오산시 화성시 의왕시 부천시</t>
    <phoneticPr fontId="1" type="noConversion"/>
  </si>
  <si>
    <t>인천시 강화군 안산시 시흥시 평택시</t>
    <phoneticPr fontId="1" type="noConversion"/>
  </si>
  <si>
    <t>옹진군</t>
    <phoneticPr fontId="1" type="noConversion"/>
  </si>
  <si>
    <t>서울</t>
    <phoneticPr fontId="2" type="noConversion"/>
  </si>
  <si>
    <t>지점출력</t>
    <phoneticPr fontId="1" type="noConversion"/>
  </si>
  <si>
    <r>
      <t>0.65*(M</t>
    </r>
    <r>
      <rPr>
        <b/>
        <i/>
        <vertAlign val="subscript"/>
        <sz val="8"/>
        <rFont val="Times New Roman"/>
        <family val="1"/>
      </rPr>
      <t>W.L 1</t>
    </r>
    <r>
      <rPr>
        <b/>
        <i/>
        <sz val="8"/>
        <rFont val="Times New Roman"/>
        <family val="1"/>
      </rPr>
      <t xml:space="preserve"> +  M</t>
    </r>
    <r>
      <rPr>
        <b/>
        <i/>
        <vertAlign val="subscript"/>
        <sz val="8"/>
        <rFont val="Times New Roman"/>
        <family val="1"/>
      </rPr>
      <t>W.L 2)</t>
    </r>
    <phoneticPr fontId="2" type="noConversion"/>
  </si>
  <si>
    <r>
      <t>( M</t>
    </r>
    <r>
      <rPr>
        <b/>
        <i/>
        <vertAlign val="subscript"/>
        <sz val="8"/>
        <rFont val="Times New Roman"/>
        <family val="1"/>
      </rPr>
      <t>W.L</t>
    </r>
    <r>
      <rPr>
        <b/>
        <i/>
        <sz val="8"/>
        <rFont val="Times New Roman"/>
        <family val="1"/>
      </rPr>
      <t xml:space="preserve"> / S</t>
    </r>
    <r>
      <rPr>
        <b/>
        <i/>
        <vertAlign val="subscript"/>
        <sz val="8"/>
        <rFont val="Times New Roman"/>
        <family val="1"/>
      </rPr>
      <t>Y</t>
    </r>
    <r>
      <rPr>
        <b/>
        <i/>
        <sz val="8"/>
        <rFont val="Times New Roman"/>
        <family val="1"/>
      </rPr>
      <t xml:space="preserve"> )</t>
    </r>
    <phoneticPr fontId="2" type="noConversion"/>
  </si>
  <si>
    <r>
      <t>0.65*(δ</t>
    </r>
    <r>
      <rPr>
        <b/>
        <i/>
        <vertAlign val="subscript"/>
        <sz val="8"/>
        <rFont val="Times New Roman"/>
        <family val="1"/>
      </rPr>
      <t>1</t>
    </r>
    <r>
      <rPr>
        <b/>
        <i/>
        <sz val="8"/>
        <rFont val="Times New Roman"/>
        <family val="1"/>
      </rPr>
      <t xml:space="preserve"> +  δ</t>
    </r>
    <r>
      <rPr>
        <b/>
        <i/>
        <vertAlign val="subscript"/>
        <sz val="8"/>
        <rFont val="Times New Roman"/>
        <family val="1"/>
      </rPr>
      <t>2)</t>
    </r>
    <phoneticPr fontId="2" type="noConversion"/>
  </si>
  <si>
    <t>Frame</t>
    <phoneticPr fontId="2" type="noConversion"/>
  </si>
  <si>
    <t>B</t>
    <phoneticPr fontId="38" type="noConversion"/>
  </si>
  <si>
    <r>
      <t>t</t>
    </r>
    <r>
      <rPr>
        <b/>
        <i/>
        <vertAlign val="subscript"/>
        <sz val="8"/>
        <rFont val="Times New Roman"/>
        <family val="1"/>
      </rPr>
      <t>1</t>
    </r>
    <phoneticPr fontId="38" type="noConversion"/>
  </si>
  <si>
    <r>
      <t>t</t>
    </r>
    <r>
      <rPr>
        <b/>
        <i/>
        <vertAlign val="subscript"/>
        <sz val="8"/>
        <rFont val="Times New Roman"/>
        <family val="1"/>
      </rPr>
      <t>2</t>
    </r>
    <phoneticPr fontId="38" type="noConversion"/>
  </si>
  <si>
    <t>A</t>
    <phoneticPr fontId="38" type="noConversion"/>
  </si>
  <si>
    <r>
      <t>mm</t>
    </r>
    <r>
      <rPr>
        <b/>
        <vertAlign val="superscript"/>
        <sz val="8"/>
        <rFont val="한컴돋움"/>
        <family val="1"/>
        <charset val="129"/>
      </rPr>
      <t>2</t>
    </r>
    <phoneticPr fontId="2" type="noConversion"/>
  </si>
  <si>
    <r>
      <t>I</t>
    </r>
    <r>
      <rPr>
        <b/>
        <i/>
        <vertAlign val="subscript"/>
        <sz val="8"/>
        <rFont val="Times New Roman"/>
        <family val="1"/>
      </rPr>
      <t>X</t>
    </r>
    <phoneticPr fontId="38" type="noConversion"/>
  </si>
  <si>
    <r>
      <t>mm</t>
    </r>
    <r>
      <rPr>
        <b/>
        <vertAlign val="superscript"/>
        <sz val="8"/>
        <rFont val="한컴돋움"/>
        <family val="1"/>
        <charset val="129"/>
      </rPr>
      <t>4</t>
    </r>
    <r>
      <rPr>
        <b/>
        <sz val="8"/>
        <rFont val="한컴돋움"/>
        <family val="1"/>
        <charset val="129"/>
      </rPr>
      <t xml:space="preserve"> </t>
    </r>
    <phoneticPr fontId="2" type="noConversion"/>
  </si>
  <si>
    <r>
      <t>I</t>
    </r>
    <r>
      <rPr>
        <b/>
        <i/>
        <vertAlign val="subscript"/>
        <sz val="8"/>
        <rFont val="Times New Roman"/>
        <family val="1"/>
      </rPr>
      <t>Y</t>
    </r>
    <phoneticPr fontId="38" type="noConversion"/>
  </si>
  <si>
    <r>
      <t>S</t>
    </r>
    <r>
      <rPr>
        <b/>
        <i/>
        <vertAlign val="subscript"/>
        <sz val="8"/>
        <rFont val="Times New Roman"/>
        <family val="1"/>
      </rPr>
      <t>X</t>
    </r>
    <phoneticPr fontId="38" type="noConversion"/>
  </si>
  <si>
    <r>
      <t>mm</t>
    </r>
    <r>
      <rPr>
        <b/>
        <vertAlign val="superscript"/>
        <sz val="8"/>
        <rFont val="한컴돋움"/>
        <family val="1"/>
        <charset val="129"/>
      </rPr>
      <t>3</t>
    </r>
    <r>
      <rPr>
        <b/>
        <sz val="8"/>
        <rFont val="한컴돋움"/>
        <family val="1"/>
        <charset val="129"/>
      </rPr>
      <t xml:space="preserve"> </t>
    </r>
    <phoneticPr fontId="2" type="noConversion"/>
  </si>
  <si>
    <r>
      <t>S</t>
    </r>
    <r>
      <rPr>
        <b/>
        <i/>
        <vertAlign val="subscript"/>
        <sz val="8"/>
        <rFont val="Times New Roman"/>
        <family val="1"/>
      </rPr>
      <t>Y</t>
    </r>
    <phoneticPr fontId="38" type="noConversion"/>
  </si>
  <si>
    <t xml:space="preserve">h </t>
    <phoneticPr fontId="38" type="noConversion"/>
  </si>
  <si>
    <t xml:space="preserve">b </t>
    <phoneticPr fontId="38" type="noConversion"/>
  </si>
  <si>
    <r>
      <t>M</t>
    </r>
    <r>
      <rPr>
        <b/>
        <i/>
        <vertAlign val="subscript"/>
        <sz val="9"/>
        <rFont val="Times New Roman"/>
        <family val="1"/>
      </rPr>
      <t>MAX</t>
    </r>
    <r>
      <rPr>
        <b/>
        <i/>
        <sz val="9"/>
        <rFont val="Times New Roman"/>
        <family val="1"/>
      </rPr>
      <t xml:space="preserve">  /  Z</t>
    </r>
    <r>
      <rPr>
        <b/>
        <i/>
        <vertAlign val="subscript"/>
        <sz val="9"/>
        <rFont val="Times New Roman"/>
        <family val="1"/>
      </rPr>
      <t>Y</t>
    </r>
    <phoneticPr fontId="2" type="noConversion"/>
  </si>
  <si>
    <r>
      <t>0.7*5 w L</t>
    </r>
    <r>
      <rPr>
        <b/>
        <i/>
        <vertAlign val="superscript"/>
        <sz val="9"/>
        <rFont val="Times New Roman"/>
        <family val="1"/>
      </rPr>
      <t>4</t>
    </r>
    <r>
      <rPr>
        <b/>
        <i/>
        <sz val="9"/>
        <rFont val="Times New Roman"/>
        <family val="1"/>
      </rPr>
      <t xml:space="preserve"> / 384 EI</t>
    </r>
    <phoneticPr fontId="2" type="noConversion"/>
  </si>
  <si>
    <r>
      <t>0.7*w L</t>
    </r>
    <r>
      <rPr>
        <b/>
        <i/>
        <vertAlign val="superscript"/>
        <sz val="9"/>
        <rFont val="Times New Roman"/>
        <family val="1"/>
      </rPr>
      <t>2</t>
    </r>
    <r>
      <rPr>
        <b/>
        <i/>
        <sz val="9"/>
        <rFont val="Times New Roman"/>
        <family val="1"/>
      </rPr>
      <t xml:space="preserve"> / 8</t>
    </r>
    <phoneticPr fontId="2" type="noConversion"/>
  </si>
  <si>
    <t>0.7*w</t>
    <phoneticPr fontId="2" type="noConversion"/>
  </si>
  <si>
    <r>
      <t>M</t>
    </r>
    <r>
      <rPr>
        <b/>
        <i/>
        <vertAlign val="subscript"/>
        <sz val="9"/>
        <rFont val="Times New Roman"/>
        <family val="1"/>
      </rPr>
      <t>MAX</t>
    </r>
    <r>
      <rPr>
        <b/>
        <i/>
        <sz val="9"/>
        <rFont val="Times New Roman"/>
        <family val="1"/>
      </rPr>
      <t xml:space="preserve">  /  Z</t>
    </r>
    <r>
      <rPr>
        <b/>
        <i/>
        <vertAlign val="subscript"/>
        <sz val="9"/>
        <rFont val="Times New Roman"/>
        <family val="1"/>
      </rPr>
      <t>Y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</si>
</sst>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176" formatCode="0.0"/>
    <numFmt numFmtId="177" formatCode="0.000_ "/>
    <numFmt numFmtId="178" formatCode="0.00_ "/>
    <numFmt numFmtId="179" formatCode="0.0_ "/>
    <numFmt numFmtId="180" formatCode="0.0_);[Red]\(0.0\)"/>
    <numFmt numFmtId="181" formatCode="_ * #,##0_ ;_ * \-#,##0_ ;_ * &quot;-&quot;_ ;_ @_ "/>
    <numFmt numFmtId="182" formatCode="_ * #,##0.00_ ;_ * \-#,##0.00_ ;_ * &quot;-&quot;??_ ;_ @_ "/>
    <numFmt numFmtId="183" formatCode="#,#00"/>
    <numFmt numFmtId="184" formatCode="0.0000"/>
    <numFmt numFmtId="185" formatCode="0.0%"/>
    <numFmt numFmtId="186" formatCode="0.000"/>
    <numFmt numFmtId="187" formatCode="0\ \)"/>
    <numFmt numFmtId="188" formatCode="0.00\ &quot;· Z&quot;"/>
    <numFmt numFmtId="189" formatCode="#,##0.0"/>
    <numFmt numFmtId="190" formatCode="0.00000"/>
    <numFmt numFmtId="191" formatCode="0_ "/>
    <numFmt numFmtId="192" formatCode="&quot;L  / &quot;0"/>
    <numFmt numFmtId="193" formatCode="0.0000000"/>
    <numFmt numFmtId="194" formatCode="0_E\E\A"/>
    <numFmt numFmtId="195" formatCode="#,##0.000"/>
    <numFmt numFmtId="196" formatCode="&quot;S&quot;0"/>
    <numFmt numFmtId="197" formatCode="&quot; = 지반종류 S&quot;0"/>
  </numFmts>
  <fonts count="125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8"/>
      <name val="돋움"/>
      <family val="3"/>
      <charset val="129"/>
    </font>
    <font>
      <sz val="8"/>
      <name val="바탕"/>
      <family val="1"/>
      <charset val="129"/>
    </font>
    <font>
      <b/>
      <sz val="11"/>
      <name val="한컴바탕"/>
      <family val="1"/>
      <charset val="129"/>
    </font>
    <font>
      <b/>
      <sz val="12"/>
      <name val="한컴바탕"/>
      <family val="1"/>
      <charset val="129"/>
    </font>
    <font>
      <b/>
      <vertAlign val="superscript"/>
      <sz val="12"/>
      <name val="한컴바탕"/>
      <family val="1"/>
      <charset val="129"/>
    </font>
    <font>
      <b/>
      <vertAlign val="subscript"/>
      <sz val="12"/>
      <name val="한컴바탕"/>
      <family val="1"/>
      <charset val="129"/>
    </font>
    <font>
      <b/>
      <sz val="16"/>
      <name val="바탕체"/>
      <family val="1"/>
      <charset val="129"/>
    </font>
    <font>
      <sz val="11"/>
      <name val="돋움"/>
      <family val="3"/>
      <charset val="129"/>
    </font>
    <font>
      <sz val="12"/>
      <name val="바탕체"/>
      <family val="1"/>
      <charset val="129"/>
    </font>
    <font>
      <b/>
      <sz val="9"/>
      <name val="한컴돋움"/>
      <family val="1"/>
      <charset val="129"/>
    </font>
    <font>
      <b/>
      <sz val="20"/>
      <name val="한컴돋움"/>
      <family val="1"/>
      <charset val="129"/>
    </font>
    <font>
      <sz val="8"/>
      <name val="맑은 고딕"/>
      <family val="3"/>
      <charset val="129"/>
    </font>
    <font>
      <b/>
      <sz val="9"/>
      <color indexed="8"/>
      <name val="한컴돋움"/>
      <family val="1"/>
      <charset val="129"/>
    </font>
    <font>
      <b/>
      <i/>
      <sz val="9"/>
      <color indexed="8"/>
      <name val="Times New Roman"/>
      <family val="1"/>
    </font>
    <font>
      <b/>
      <sz val="9"/>
      <color indexed="8"/>
      <name val="Times New Roman"/>
      <family val="1"/>
    </font>
    <font>
      <b/>
      <i/>
      <vertAlign val="subscript"/>
      <sz val="9"/>
      <color indexed="8"/>
      <name val="Times New Roman"/>
      <family val="1"/>
    </font>
    <font>
      <b/>
      <vertAlign val="superscript"/>
      <sz val="9"/>
      <color indexed="8"/>
      <name val="한컴돋움"/>
      <family val="1"/>
      <charset val="129"/>
    </font>
    <font>
      <b/>
      <i/>
      <sz val="10"/>
      <color indexed="8"/>
      <name val="Times New Roman"/>
      <family val="1"/>
    </font>
    <font>
      <b/>
      <i/>
      <vertAlign val="subscript"/>
      <sz val="10"/>
      <color indexed="8"/>
      <name val="Times New Roman"/>
      <family val="1"/>
    </font>
    <font>
      <b/>
      <vertAlign val="subscript"/>
      <sz val="10"/>
      <color indexed="8"/>
      <name val="한컴돋움"/>
      <family val="1"/>
      <charset val="129"/>
    </font>
    <font>
      <b/>
      <sz val="10"/>
      <color indexed="8"/>
      <name val="한컴돋움"/>
      <family val="1"/>
      <charset val="129"/>
    </font>
    <font>
      <b/>
      <i/>
      <vertAlign val="superscript"/>
      <sz val="9"/>
      <name val="Times New Roman"/>
      <family val="1"/>
    </font>
    <font>
      <b/>
      <i/>
      <sz val="9"/>
      <name val="Times New Roman"/>
      <family val="1"/>
    </font>
    <font>
      <b/>
      <i/>
      <vertAlign val="subscript"/>
      <sz val="9"/>
      <name val="Times New Roman"/>
      <family val="1"/>
    </font>
    <font>
      <b/>
      <sz val="10"/>
      <name val="한컴돋움"/>
      <family val="1"/>
      <charset val="129"/>
    </font>
    <font>
      <b/>
      <sz val="12"/>
      <name val="한컴돋움"/>
      <family val="1"/>
      <charset val="129"/>
    </font>
    <font>
      <b/>
      <vertAlign val="superscript"/>
      <sz val="9"/>
      <name val="한컴돋움"/>
      <family val="1"/>
      <charset val="129"/>
    </font>
    <font>
      <b/>
      <vertAlign val="subscript"/>
      <sz val="9"/>
      <name val="한컴돋움"/>
      <family val="1"/>
      <charset val="129"/>
    </font>
    <font>
      <sz val="9"/>
      <name val="한컴돋움"/>
      <family val="1"/>
      <charset val="129"/>
    </font>
    <font>
      <b/>
      <sz val="9"/>
      <color indexed="10"/>
      <name val="한컴돋움"/>
      <family val="1"/>
      <charset val="129"/>
    </font>
    <font>
      <b/>
      <sz val="9"/>
      <color indexed="12"/>
      <name val="한컴돋움"/>
      <family val="1"/>
      <charset val="129"/>
    </font>
    <font>
      <b/>
      <sz val="9"/>
      <name val="Times New Roman"/>
      <family val="1"/>
    </font>
    <font>
      <b/>
      <sz val="9"/>
      <name val="돋움"/>
      <family val="3"/>
      <charset val="129"/>
    </font>
    <font>
      <b/>
      <vertAlign val="subscript"/>
      <sz val="9"/>
      <name val="Times New Roman"/>
      <family val="1"/>
    </font>
    <font>
      <b/>
      <i/>
      <vertAlign val="superscript"/>
      <sz val="9"/>
      <color indexed="8"/>
      <name val="Times New Roman"/>
      <family val="1"/>
    </font>
    <font>
      <b/>
      <sz val="9"/>
      <name val="한컴바탕"/>
      <family val="1"/>
      <charset val="129"/>
    </font>
    <font>
      <sz val="8"/>
      <name val="맑은 고딕"/>
      <family val="3"/>
      <charset val="129"/>
    </font>
    <font>
      <sz val="11"/>
      <color theme="1"/>
      <name val="맑은 고딕"/>
      <family val="3"/>
      <charset val="129"/>
      <scheme val="minor"/>
    </font>
    <font>
      <b/>
      <sz val="9"/>
      <color rgb="FFC00000"/>
      <name val="한컴돋움"/>
      <family val="1"/>
      <charset val="129"/>
    </font>
    <font>
      <b/>
      <sz val="9"/>
      <color theme="1"/>
      <name val="한컴돋움"/>
      <family val="1"/>
      <charset val="129"/>
    </font>
    <font>
      <b/>
      <sz val="12"/>
      <color theme="1"/>
      <name val="한컴돋움"/>
      <family val="1"/>
      <charset val="129"/>
    </font>
    <font>
      <b/>
      <sz val="10"/>
      <color theme="1"/>
      <name val="한컴돋움"/>
      <family val="1"/>
      <charset val="129"/>
    </font>
    <font>
      <sz val="9"/>
      <color theme="1"/>
      <name val="한컴돋움"/>
      <family val="1"/>
      <charset val="129"/>
    </font>
    <font>
      <b/>
      <sz val="8"/>
      <color theme="1"/>
      <name val="한컴돋움"/>
      <family val="1"/>
      <charset val="129"/>
    </font>
    <font>
      <b/>
      <i/>
      <sz val="9"/>
      <color theme="1"/>
      <name val="Times New Roman"/>
      <family val="1"/>
    </font>
    <font>
      <b/>
      <sz val="9"/>
      <color rgb="FF0000FF"/>
      <name val="한컴돋움"/>
      <family val="1"/>
      <charset val="129"/>
    </font>
    <font>
      <b/>
      <sz val="9"/>
      <color rgb="FFFF0000"/>
      <name val="한컴돋움"/>
      <family val="1"/>
      <charset val="129"/>
    </font>
    <font>
      <b/>
      <sz val="9"/>
      <color rgb="FF0033CC"/>
      <name val="한컴돋움"/>
      <family val="1"/>
      <charset val="129"/>
    </font>
    <font>
      <sz val="9"/>
      <color rgb="FF0033CC"/>
      <name val="한컴돋움"/>
      <family val="1"/>
      <charset val="129"/>
    </font>
    <font>
      <b/>
      <sz val="9"/>
      <color rgb="FFC00000"/>
      <name val="한컴바탕"/>
      <family val="1"/>
      <charset val="129"/>
    </font>
    <font>
      <b/>
      <sz val="9"/>
      <color indexed="18"/>
      <name val="한컴돋움"/>
      <family val="1"/>
      <charset val="129"/>
    </font>
    <font>
      <b/>
      <i/>
      <sz val="9"/>
      <color rgb="FFC00000"/>
      <name val="Times New Roman"/>
      <family val="1"/>
    </font>
    <font>
      <b/>
      <vertAlign val="subscript"/>
      <sz val="9"/>
      <name val="한컴바탕"/>
      <family val="1"/>
      <charset val="129"/>
    </font>
    <font>
      <b/>
      <sz val="9"/>
      <color rgb="FF0000FF"/>
      <name val="한컴바탕"/>
      <family val="1"/>
      <charset val="129"/>
    </font>
    <font>
      <b/>
      <i/>
      <sz val="9"/>
      <name val="한컴돋움"/>
      <family val="1"/>
      <charset val="129"/>
    </font>
    <font>
      <b/>
      <sz val="9"/>
      <color indexed="10"/>
      <name val="한컴바탕"/>
      <family val="1"/>
      <charset val="129"/>
    </font>
    <font>
      <b/>
      <sz val="9"/>
      <color theme="1"/>
      <name val="한컴바탕"/>
      <family val="1"/>
      <charset val="129"/>
    </font>
    <font>
      <b/>
      <sz val="9"/>
      <color rgb="FFFFFF00"/>
      <name val="한컴돋움"/>
      <family val="1"/>
      <charset val="129"/>
    </font>
    <font>
      <b/>
      <sz val="8"/>
      <color rgb="FF0000FF"/>
      <name val="한컴돋움"/>
      <family val="1"/>
      <charset val="129"/>
    </font>
    <font>
      <b/>
      <i/>
      <sz val="10"/>
      <name val="Times New Roman"/>
      <family val="1"/>
    </font>
    <font>
      <b/>
      <i/>
      <vertAlign val="subscript"/>
      <sz val="10"/>
      <name val="Times New Roman"/>
      <family val="1"/>
    </font>
    <font>
      <b/>
      <sz val="10"/>
      <name val="Times New Roman"/>
      <family val="1"/>
    </font>
    <font>
      <b/>
      <i/>
      <vertAlign val="superscript"/>
      <sz val="11"/>
      <color indexed="8"/>
      <name val="Times New Roman"/>
      <family val="1"/>
    </font>
    <font>
      <b/>
      <i/>
      <sz val="10"/>
      <color rgb="FFC00000"/>
      <name val="Times New Roman"/>
      <family val="1"/>
    </font>
    <font>
      <b/>
      <sz val="10"/>
      <color indexed="60"/>
      <name val="한컴돋움"/>
      <family val="1"/>
      <charset val="129"/>
    </font>
    <font>
      <b/>
      <i/>
      <sz val="10"/>
      <color indexed="60"/>
      <name val="Times New Roman"/>
      <family val="1"/>
    </font>
    <font>
      <b/>
      <i/>
      <vertAlign val="subscript"/>
      <sz val="10"/>
      <color indexed="60"/>
      <name val="Times New Roman"/>
      <family val="1"/>
    </font>
    <font>
      <b/>
      <sz val="10"/>
      <color indexed="60"/>
      <name val="Times New Roman"/>
      <family val="1"/>
    </font>
    <font>
      <b/>
      <vertAlign val="superscript"/>
      <sz val="10"/>
      <color indexed="60"/>
      <name val="Times New Roman"/>
      <family val="1"/>
    </font>
    <font>
      <b/>
      <sz val="10"/>
      <color rgb="FFC00000"/>
      <name val="Times New Roman"/>
      <family val="1"/>
    </font>
    <font>
      <b/>
      <sz val="9"/>
      <name val="바탕"/>
      <family val="1"/>
      <charset val="129"/>
    </font>
    <font>
      <b/>
      <i/>
      <sz val="9"/>
      <color rgb="FF0033CC"/>
      <name val="Times New Roman"/>
      <family val="1"/>
    </font>
    <font>
      <b/>
      <sz val="8"/>
      <name val="한컴돋움"/>
      <family val="1"/>
      <charset val="129"/>
    </font>
    <font>
      <b/>
      <vertAlign val="superscript"/>
      <sz val="9"/>
      <color theme="1"/>
      <name val="한컴돋움"/>
      <family val="1"/>
      <charset val="129"/>
    </font>
    <font>
      <b/>
      <i/>
      <vertAlign val="subscript"/>
      <sz val="9"/>
      <color theme="1"/>
      <name val="Times New Roman"/>
      <family val="1"/>
    </font>
    <font>
      <b/>
      <sz val="9"/>
      <color theme="1"/>
      <name val="Times New Roman"/>
      <family val="1"/>
    </font>
    <font>
      <b/>
      <i/>
      <sz val="8"/>
      <color theme="1"/>
      <name val="Times New Roman"/>
      <family val="1"/>
    </font>
    <font>
      <b/>
      <sz val="8"/>
      <color rgb="FFC00000"/>
      <name val="한컴돋움"/>
      <family val="1"/>
      <charset val="129"/>
    </font>
    <font>
      <b/>
      <i/>
      <sz val="8"/>
      <name val="Times New Roman"/>
      <family val="1"/>
    </font>
    <font>
      <b/>
      <i/>
      <vertAlign val="subscript"/>
      <sz val="8"/>
      <name val="Times New Roman"/>
      <family val="1"/>
    </font>
    <font>
      <b/>
      <sz val="8"/>
      <color indexed="22"/>
      <name val="한컴돋움"/>
      <family val="1"/>
      <charset val="129"/>
    </font>
    <font>
      <b/>
      <sz val="8"/>
      <name val="한컴바탕"/>
      <family val="1"/>
      <charset val="129"/>
    </font>
    <font>
      <b/>
      <i/>
      <sz val="8"/>
      <name val="Times New Roman"/>
      <family val="1"/>
      <charset val="129"/>
    </font>
    <font>
      <b/>
      <i/>
      <vertAlign val="superscript"/>
      <sz val="8"/>
      <name val="Times New Roman"/>
      <family val="1"/>
    </font>
    <font>
      <b/>
      <vertAlign val="superscript"/>
      <sz val="8"/>
      <name val="한컴돋움"/>
      <family val="1"/>
      <charset val="129"/>
    </font>
    <font>
      <b/>
      <sz val="8"/>
      <name val="Times New Roman"/>
      <family val="1"/>
    </font>
    <font>
      <b/>
      <vertAlign val="subscript"/>
      <sz val="8"/>
      <name val="한컴돋움"/>
      <family val="1"/>
      <charset val="129"/>
    </font>
    <font>
      <b/>
      <sz val="8"/>
      <color rgb="FFC00000"/>
      <name val="한컴바탕"/>
      <family val="1"/>
      <charset val="129"/>
    </font>
    <font>
      <b/>
      <i/>
      <sz val="8"/>
      <name val="한컴돋움"/>
      <family val="1"/>
      <charset val="129"/>
    </font>
    <font>
      <b/>
      <sz val="8"/>
      <name val="바탕"/>
      <family val="1"/>
      <charset val="129"/>
    </font>
    <font>
      <b/>
      <sz val="8"/>
      <color rgb="FF0000FF"/>
      <name val="한컴바탕"/>
      <family val="1"/>
      <charset val="129"/>
    </font>
    <font>
      <sz val="8"/>
      <name val="한컴돋움"/>
      <family val="1"/>
      <charset val="129"/>
    </font>
    <font>
      <sz val="8"/>
      <name val="Times New Roman"/>
      <family val="1"/>
    </font>
    <font>
      <vertAlign val="subscript"/>
      <sz val="8"/>
      <name val="Times New Roman"/>
      <family val="1"/>
    </font>
    <font>
      <sz val="8"/>
      <name val="한컴바탕"/>
      <family val="1"/>
      <charset val="129"/>
    </font>
    <font>
      <vertAlign val="subscript"/>
      <sz val="8"/>
      <name val="바탕"/>
      <family val="1"/>
      <charset val="129"/>
    </font>
    <font>
      <b/>
      <vertAlign val="subscript"/>
      <sz val="8"/>
      <name val="한컴바탕"/>
      <family val="1"/>
      <charset val="129"/>
    </font>
    <font>
      <b/>
      <sz val="8"/>
      <color indexed="10"/>
      <name val="한컴바탕"/>
      <family val="1"/>
      <charset val="129"/>
    </font>
    <font>
      <b/>
      <u/>
      <sz val="9"/>
      <name val="한컴돋움"/>
      <family val="1"/>
      <charset val="129"/>
    </font>
    <font>
      <b/>
      <sz val="11"/>
      <name val="한컴돋움"/>
      <family val="1"/>
      <charset val="129"/>
    </font>
    <font>
      <sz val="9"/>
      <color rgb="FF0000FF"/>
      <name val="한컴돋움"/>
      <family val="1"/>
      <charset val="129"/>
    </font>
    <font>
      <b/>
      <sz val="9"/>
      <name val="맑은 고딕"/>
      <family val="3"/>
      <charset val="129"/>
    </font>
    <font>
      <b/>
      <i/>
      <sz val="9"/>
      <name val="Times New Roman"/>
      <family val="1"/>
      <charset val="129"/>
    </font>
    <font>
      <b/>
      <sz val="8.5"/>
      <name val="한컴돋움"/>
      <family val="1"/>
      <charset val="129"/>
    </font>
    <font>
      <sz val="9"/>
      <name val="바탕체"/>
      <family val="1"/>
      <charset val="129"/>
    </font>
    <font>
      <b/>
      <i/>
      <sz val="9"/>
      <name val="바탕"/>
      <family val="1"/>
      <charset val="129"/>
    </font>
    <font>
      <sz val="9"/>
      <name val="맑은 고딕"/>
      <family val="3"/>
      <charset val="129"/>
    </font>
    <font>
      <sz val="11"/>
      <color rgb="FF333333"/>
      <name val="Arial"/>
      <family val="2"/>
    </font>
    <font>
      <b/>
      <u/>
      <sz val="9"/>
      <color theme="0" tint="-0.499984740745262"/>
      <name val="한컴돋움"/>
      <family val="1"/>
      <charset val="129"/>
    </font>
    <font>
      <b/>
      <u/>
      <sz val="9"/>
      <color theme="0" tint="-0.34998626667073579"/>
      <name val="한컴돋움"/>
      <family val="1"/>
      <charset val="129"/>
    </font>
    <font>
      <sz val="8"/>
      <name val="Times New Roman"/>
      <family val="1"/>
      <charset val="129"/>
    </font>
    <font>
      <u/>
      <sz val="11"/>
      <color theme="10"/>
      <name val="돋움"/>
      <family val="3"/>
      <charset val="129"/>
    </font>
    <font>
      <b/>
      <i/>
      <sz val="9"/>
      <color rgb="FF000000"/>
      <name val="한컴돋움"/>
      <family val="1"/>
      <charset val="129"/>
    </font>
    <font>
      <b/>
      <i/>
      <vertAlign val="subscript"/>
      <sz val="9"/>
      <color rgb="FF000000"/>
      <name val="한컴돋움"/>
      <family val="1"/>
      <charset val="129"/>
    </font>
    <font>
      <b/>
      <i/>
      <vertAlign val="subscript"/>
      <sz val="8"/>
      <color indexed="8"/>
      <name val="Times New Roman"/>
      <family val="1"/>
    </font>
    <font>
      <b/>
      <sz val="8"/>
      <color indexed="8"/>
      <name val="Times New Roman"/>
      <family val="1"/>
    </font>
    <font>
      <b/>
      <vertAlign val="subscript"/>
      <sz val="8"/>
      <color rgb="FF000000"/>
      <name val="Times New Roman"/>
      <family val="1"/>
    </font>
    <font>
      <b/>
      <i/>
      <sz val="8"/>
      <color indexed="8"/>
      <name val="Times New Roman"/>
      <family val="1"/>
    </font>
    <font>
      <b/>
      <u/>
      <sz val="9"/>
      <color theme="1"/>
      <name val="한컴돋움"/>
      <family val="1"/>
      <charset val="129"/>
    </font>
    <font>
      <b/>
      <sz val="9"/>
      <name val="Times New Roman"/>
      <family val="1"/>
      <charset val="129"/>
    </font>
    <font>
      <b/>
      <sz val="6"/>
      <name val="한컴돋움"/>
      <family val="1"/>
      <charset val="129"/>
    </font>
    <font>
      <b/>
      <vertAlign val="subscript"/>
      <sz val="10"/>
      <name val="한컴돋움"/>
      <family val="1"/>
      <charset val="129"/>
    </font>
    <font>
      <b/>
      <i/>
      <vertAlign val="superscript"/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 style="dashed">
        <color indexed="64"/>
      </left>
      <right/>
      <top/>
      <bottom style="medium">
        <color indexed="64"/>
      </bottom>
      <diagonal/>
    </border>
    <border>
      <left style="dashed">
        <color indexed="64"/>
      </left>
      <right/>
      <top/>
      <bottom/>
      <diagonal/>
    </border>
    <border>
      <left/>
      <right style="dashed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ashed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902">
    <xf numFmtId="0" fontId="0" fillId="0" borderId="0"/>
    <xf numFmtId="181" fontId="10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9" fillId="0" borderId="0"/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9" fillId="0" borderId="0"/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9" fillId="0" borderId="0"/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41" fontId="9" fillId="0" borderId="0" applyFont="0" applyFill="0" applyBorder="0" applyAlignment="0" applyProtection="0"/>
    <xf numFmtId="0" fontId="113" fillId="0" borderId="0" applyNumberFormat="0" applyFill="0" applyBorder="0" applyAlignment="0" applyProtection="0"/>
  </cellStyleXfs>
  <cellXfs count="793">
    <xf numFmtId="0" fontId="0" fillId="0" borderId="0" xfId="0"/>
    <xf numFmtId="176" fontId="11" fillId="0" borderId="0" xfId="212" applyNumberFormat="1" applyFont="1" applyAlignment="1">
      <alignment horizontal="left" vertical="center"/>
    </xf>
    <xf numFmtId="2" fontId="11" fillId="0" borderId="0" xfId="212" applyNumberFormat="1" applyFont="1" applyAlignment="1">
      <alignment vertical="center"/>
    </xf>
    <xf numFmtId="1" fontId="11" fillId="0" borderId="1" xfId="212" applyNumberFormat="1" applyFont="1" applyBorder="1" applyAlignment="1">
      <alignment horizontal="center" vertical="center"/>
    </xf>
    <xf numFmtId="2" fontId="11" fillId="0" borderId="1" xfId="212" applyNumberFormat="1" applyFont="1" applyBorder="1" applyAlignment="1">
      <alignment vertical="center"/>
    </xf>
    <xf numFmtId="0" fontId="41" fillId="0" borderId="1" xfId="177" applyFont="1" applyBorder="1">
      <alignment vertical="center"/>
    </xf>
    <xf numFmtId="0" fontId="41" fillId="0" borderId="0" xfId="208" applyFont="1">
      <alignment vertical="center"/>
    </xf>
    <xf numFmtId="0" fontId="41" fillId="0" borderId="0" xfId="177" applyFont="1">
      <alignment vertical="center"/>
    </xf>
    <xf numFmtId="0" fontId="11" fillId="0" borderId="0" xfId="212" quotePrefix="1" applyFont="1" applyAlignment="1">
      <alignment horizontal="right" vertical="center"/>
    </xf>
    <xf numFmtId="0" fontId="41" fillId="0" borderId="0" xfId="177" applyFont="1" applyAlignment="1">
      <alignment horizontal="left" vertical="center"/>
    </xf>
    <xf numFmtId="0" fontId="40" fillId="0" borderId="0" xfId="208" applyFont="1">
      <alignment vertical="center"/>
    </xf>
    <xf numFmtId="0" fontId="40" fillId="0" borderId="0" xfId="177" applyFont="1">
      <alignment vertical="center"/>
    </xf>
    <xf numFmtId="0" fontId="11" fillId="0" borderId="0" xfId="0" applyFont="1" applyAlignment="1">
      <alignment vertical="center"/>
    </xf>
    <xf numFmtId="0" fontId="11" fillId="0" borderId="0" xfId="863" applyFont="1" applyAlignment="1">
      <alignment horizontal="center" vertical="center"/>
    </xf>
    <xf numFmtId="0" fontId="11" fillId="0" borderId="0" xfId="863" applyFont="1" applyAlignment="1">
      <alignment vertical="center"/>
    </xf>
    <xf numFmtId="0" fontId="11" fillId="0" borderId="0" xfId="863" applyFont="1" applyAlignment="1">
      <alignment horizontal="right" vertical="center"/>
    </xf>
    <xf numFmtId="0" fontId="11" fillId="0" borderId="0" xfId="863" applyFont="1"/>
    <xf numFmtId="176" fontId="27" fillId="0" borderId="0" xfId="212" applyNumberFormat="1" applyFont="1" applyAlignment="1">
      <alignment vertical="center"/>
    </xf>
    <xf numFmtId="0" fontId="9" fillId="0" borderId="0" xfId="212"/>
    <xf numFmtId="176" fontId="11" fillId="0" borderId="0" xfId="0" applyNumberFormat="1" applyFont="1" applyAlignment="1">
      <alignment horizontal="left" vertical="center"/>
    </xf>
    <xf numFmtId="2" fontId="11" fillId="0" borderId="0" xfId="0" applyNumberFormat="1" applyFont="1" applyAlignment="1">
      <alignment horizontal="center" vertical="center"/>
    </xf>
    <xf numFmtId="176" fontId="26" fillId="0" borderId="0" xfId="0" applyNumberFormat="1" applyFont="1" applyAlignment="1">
      <alignment horizontal="left" vertical="center"/>
    </xf>
    <xf numFmtId="176" fontId="24" fillId="0" borderId="0" xfId="0" applyNumberFormat="1" applyFont="1" applyAlignment="1">
      <alignment horizontal="left" vertical="center"/>
    </xf>
    <xf numFmtId="176" fontId="47" fillId="0" borderId="0" xfId="0" applyNumberFormat="1" applyFont="1" applyAlignment="1">
      <alignment vertical="center"/>
    </xf>
    <xf numFmtId="2" fontId="11" fillId="0" borderId="0" xfId="0" applyNumberFormat="1" applyFont="1" applyAlignment="1">
      <alignment vertical="center"/>
    </xf>
    <xf numFmtId="0" fontId="11" fillId="0" borderId="0" xfId="0" quotePrefix="1" applyFont="1" applyAlignment="1">
      <alignment vertical="center"/>
    </xf>
    <xf numFmtId="0" fontId="11" fillId="0" borderId="0" xfId="0" applyFont="1" applyAlignment="1">
      <alignment horizontal="right" vertical="center"/>
    </xf>
    <xf numFmtId="0" fontId="11" fillId="0" borderId="0" xfId="0" applyFont="1" applyAlignment="1">
      <alignment horizontal="center" vertical="center"/>
    </xf>
    <xf numFmtId="2" fontId="32" fillId="0" borderId="0" xfId="0" applyNumberFormat="1" applyFont="1" applyAlignment="1">
      <alignment vertical="center"/>
    </xf>
    <xf numFmtId="176" fontId="11" fillId="0" borderId="0" xfId="0" applyNumberFormat="1" applyFont="1" applyAlignment="1">
      <alignment vertical="center"/>
    </xf>
    <xf numFmtId="176" fontId="41" fillId="0" borderId="0" xfId="0" applyNumberFormat="1" applyFont="1" applyAlignment="1">
      <alignment vertical="center"/>
    </xf>
    <xf numFmtId="2" fontId="11" fillId="0" borderId="2" xfId="0" applyNumberFormat="1" applyFont="1" applyBorder="1" applyAlignment="1">
      <alignment horizontal="center" vertical="center"/>
    </xf>
    <xf numFmtId="0" fontId="24" fillId="0" borderId="0" xfId="0" applyFont="1" applyAlignment="1">
      <alignment horizontal="left" vertical="center"/>
    </xf>
    <xf numFmtId="2" fontId="11" fillId="0" borderId="19" xfId="0" applyNumberFormat="1" applyFont="1" applyBorder="1" applyAlignment="1">
      <alignment horizontal="center" vertical="center"/>
    </xf>
    <xf numFmtId="186" fontId="41" fillId="0" borderId="0" xfId="0" applyNumberFormat="1" applyFont="1" applyAlignment="1">
      <alignment vertical="center"/>
    </xf>
    <xf numFmtId="2" fontId="11" fillId="0" borderId="0" xfId="0" quotePrefix="1" applyNumberFormat="1" applyFont="1" applyAlignment="1">
      <alignment vertical="center"/>
    </xf>
    <xf numFmtId="2" fontId="24" fillId="0" borderId="0" xfId="0" applyNumberFormat="1" applyFont="1" applyAlignment="1">
      <alignment horizontal="left" vertical="center"/>
    </xf>
    <xf numFmtId="2" fontId="37" fillId="0" borderId="0" xfId="0" applyNumberFormat="1" applyFont="1" applyAlignment="1">
      <alignment horizontal="center" vertical="center"/>
    </xf>
    <xf numFmtId="2" fontId="11" fillId="0" borderId="0" xfId="0" applyNumberFormat="1" applyFont="1" applyAlignment="1">
      <alignment horizontal="right" vertical="center"/>
    </xf>
    <xf numFmtId="2" fontId="11" fillId="0" borderId="0" xfId="0" quotePrefix="1" applyNumberFormat="1" applyFont="1" applyAlignment="1">
      <alignment horizontal="center" vertical="center"/>
    </xf>
    <xf numFmtId="2" fontId="26" fillId="0" borderId="0" xfId="0" applyNumberFormat="1" applyFont="1" applyAlignment="1">
      <alignment vertical="center"/>
    </xf>
    <xf numFmtId="186" fontId="11" fillId="0" borderId="0" xfId="0" applyNumberFormat="1" applyFont="1" applyAlignment="1">
      <alignment vertical="center"/>
    </xf>
    <xf numFmtId="2" fontId="47" fillId="0" borderId="0" xfId="0" applyNumberFormat="1" applyFont="1" applyAlignment="1">
      <alignment vertical="center"/>
    </xf>
    <xf numFmtId="2" fontId="11" fillId="0" borderId="0" xfId="0" applyNumberFormat="1" applyFont="1" applyAlignment="1">
      <alignment horizontal="left" vertical="center"/>
    </xf>
    <xf numFmtId="2" fontId="11" fillId="0" borderId="0" xfId="0" applyNumberFormat="1" applyFont="1"/>
    <xf numFmtId="2" fontId="47" fillId="0" borderId="4" xfId="0" applyNumberFormat="1" applyFont="1" applyBorder="1" applyAlignment="1">
      <alignment horizontal="right" vertical="center"/>
    </xf>
    <xf numFmtId="2" fontId="37" fillId="0" borderId="0" xfId="0" applyNumberFormat="1" applyFont="1" applyAlignment="1">
      <alignment horizontal="left" vertical="center"/>
    </xf>
    <xf numFmtId="2" fontId="37" fillId="0" borderId="0" xfId="0" applyNumberFormat="1" applyFont="1" applyAlignment="1">
      <alignment vertical="center"/>
    </xf>
    <xf numFmtId="2" fontId="37" fillId="0" borderId="0" xfId="0" quotePrefix="1" applyNumberFormat="1" applyFont="1" applyAlignment="1">
      <alignment horizontal="left" vertical="center"/>
    </xf>
    <xf numFmtId="2" fontId="11" fillId="0" borderId="0" xfId="0" quotePrefix="1" applyNumberFormat="1" applyFont="1" applyAlignment="1">
      <alignment horizontal="left" vertical="center"/>
    </xf>
    <xf numFmtId="2" fontId="47" fillId="0" borderId="0" xfId="0" applyNumberFormat="1" applyFont="1" applyAlignment="1">
      <alignment horizontal="right" vertical="center"/>
    </xf>
    <xf numFmtId="2" fontId="11" fillId="0" borderId="0" xfId="864" applyNumberFormat="1" applyFont="1" applyAlignment="1">
      <alignment vertical="center"/>
    </xf>
    <xf numFmtId="2" fontId="37" fillId="0" borderId="0" xfId="0" applyNumberFormat="1" applyFont="1" applyAlignment="1">
      <alignment horizontal="right" vertical="center"/>
    </xf>
    <xf numFmtId="2" fontId="37" fillId="0" borderId="7" xfId="0" applyNumberFormat="1" applyFont="1" applyBorder="1" applyAlignment="1">
      <alignment horizontal="right" vertical="center"/>
    </xf>
    <xf numFmtId="2" fontId="37" fillId="0" borderId="3" xfId="0" applyNumberFormat="1" applyFont="1" applyBorder="1" applyAlignment="1">
      <alignment horizontal="center" vertical="center"/>
    </xf>
    <xf numFmtId="2" fontId="37" fillId="0" borderId="7" xfId="0" applyNumberFormat="1" applyFont="1" applyBorder="1" applyAlignment="1">
      <alignment horizontal="center" vertical="center"/>
    </xf>
    <xf numFmtId="2" fontId="51" fillId="0" borderId="7" xfId="0" applyNumberFormat="1" applyFont="1" applyBorder="1" applyAlignment="1">
      <alignment horizontal="center" vertical="center"/>
    </xf>
    <xf numFmtId="2" fontId="24" fillId="0" borderId="5" xfId="0" applyNumberFormat="1" applyFont="1" applyBorder="1" applyAlignment="1">
      <alignment horizontal="left" vertical="top"/>
    </xf>
    <xf numFmtId="2" fontId="37" fillId="0" borderId="22" xfId="0" applyNumberFormat="1" applyFont="1" applyBorder="1" applyAlignment="1">
      <alignment horizontal="right" vertical="center"/>
    </xf>
    <xf numFmtId="2" fontId="37" fillId="0" borderId="6" xfId="0" applyNumberFormat="1" applyFont="1" applyBorder="1" applyAlignment="1">
      <alignment horizontal="center" vertical="center"/>
    </xf>
    <xf numFmtId="2" fontId="37" fillId="0" borderId="9" xfId="0" applyNumberFormat="1" applyFont="1" applyBorder="1" applyAlignment="1">
      <alignment horizontal="center" vertical="center"/>
    </xf>
    <xf numFmtId="2" fontId="51" fillId="0" borderId="22" xfId="0" applyNumberFormat="1" applyFont="1" applyBorder="1" applyAlignment="1">
      <alignment horizontal="center" vertical="center"/>
    </xf>
    <xf numFmtId="2" fontId="37" fillId="0" borderId="22" xfId="0" applyNumberFormat="1" applyFont="1" applyBorder="1" applyAlignment="1">
      <alignment horizontal="center" vertical="center"/>
    </xf>
    <xf numFmtId="2" fontId="51" fillId="0" borderId="9" xfId="0" applyNumberFormat="1" applyFont="1" applyBorder="1" applyAlignment="1">
      <alignment horizontal="center" vertical="center"/>
    </xf>
    <xf numFmtId="2" fontId="37" fillId="0" borderId="9" xfId="0" applyNumberFormat="1" applyFont="1" applyBorder="1" applyAlignment="1">
      <alignment horizontal="right" vertical="center"/>
    </xf>
    <xf numFmtId="2" fontId="55" fillId="0" borderId="23" xfId="0" applyNumberFormat="1" applyFont="1" applyBorder="1" applyAlignment="1">
      <alignment horizontal="center" vertical="center"/>
    </xf>
    <xf numFmtId="2" fontId="55" fillId="0" borderId="24" xfId="0" applyNumberFormat="1" applyFont="1" applyBorder="1" applyAlignment="1">
      <alignment horizontal="center" vertical="center"/>
    </xf>
    <xf numFmtId="176" fontId="11" fillId="4" borderId="0" xfId="0" applyNumberFormat="1" applyFont="1" applyFill="1" applyAlignment="1">
      <alignment vertical="center"/>
    </xf>
    <xf numFmtId="2" fontId="11" fillId="0" borderId="0" xfId="0" quotePrefix="1" applyNumberFormat="1" applyFont="1" applyAlignment="1">
      <alignment horizontal="right" vertical="center"/>
    </xf>
    <xf numFmtId="2" fontId="11" fillId="0" borderId="0" xfId="0" quotePrefix="1" applyNumberFormat="1" applyFont="1" applyAlignment="1">
      <alignment horizontal="right"/>
    </xf>
    <xf numFmtId="2" fontId="11" fillId="0" borderId="0" xfId="0" applyNumberFormat="1" applyFont="1" applyAlignment="1">
      <alignment horizontal="right"/>
    </xf>
    <xf numFmtId="2" fontId="24" fillId="0" borderId="16" xfId="0" applyNumberFormat="1" applyFont="1" applyBorder="1" applyAlignment="1">
      <alignment horizontal="center" vertical="center"/>
    </xf>
    <xf numFmtId="2" fontId="34" fillId="0" borderId="13" xfId="0" applyNumberFormat="1" applyFont="1" applyBorder="1" applyAlignment="1">
      <alignment horizontal="center" vertical="center"/>
    </xf>
    <xf numFmtId="2" fontId="34" fillId="0" borderId="16" xfId="0" applyNumberFormat="1" applyFont="1" applyBorder="1" applyAlignment="1">
      <alignment horizontal="center" vertical="center"/>
    </xf>
    <xf numFmtId="2" fontId="57" fillId="0" borderId="0" xfId="0" applyNumberFormat="1" applyFont="1" applyAlignment="1">
      <alignment vertical="center"/>
    </xf>
    <xf numFmtId="2" fontId="58" fillId="0" borderId="0" xfId="0" applyNumberFormat="1" applyFont="1" applyAlignment="1">
      <alignment vertical="center"/>
    </xf>
    <xf numFmtId="2" fontId="27" fillId="0" borderId="0" xfId="0" quotePrefix="1" applyNumberFormat="1" applyFont="1" applyAlignment="1">
      <alignment vertical="center"/>
    </xf>
    <xf numFmtId="2" fontId="26" fillId="0" borderId="0" xfId="0" applyNumberFormat="1" applyFont="1" applyAlignment="1">
      <alignment horizontal="left" vertical="center"/>
    </xf>
    <xf numFmtId="2" fontId="24" fillId="0" borderId="0" xfId="0" applyNumberFormat="1" applyFont="1" applyAlignment="1">
      <alignment vertical="center"/>
    </xf>
    <xf numFmtId="2" fontId="41" fillId="0" borderId="0" xfId="0" applyNumberFormat="1" applyFont="1" applyAlignment="1">
      <alignment vertical="center"/>
    </xf>
    <xf numFmtId="2" fontId="24" fillId="0" borderId="0" xfId="0" applyNumberFormat="1" applyFont="1" applyAlignment="1">
      <alignment horizontal="right" vertical="center"/>
    </xf>
    <xf numFmtId="2" fontId="30" fillId="0" borderId="0" xfId="0" applyNumberFormat="1" applyFont="1" applyAlignment="1">
      <alignment vertical="center"/>
    </xf>
    <xf numFmtId="2" fontId="30" fillId="0" borderId="0" xfId="0" quotePrefix="1" applyNumberFormat="1" applyFont="1" applyAlignment="1">
      <alignment vertical="center"/>
    </xf>
    <xf numFmtId="2" fontId="33" fillId="4" borderId="0" xfId="0" applyNumberFormat="1" applyFont="1" applyFill="1" applyAlignment="1">
      <alignment horizontal="center" vertical="center"/>
    </xf>
    <xf numFmtId="2" fontId="24" fillId="0" borderId="13" xfId="0" applyNumberFormat="1" applyFont="1" applyBorder="1" applyAlignment="1">
      <alignment horizontal="center" vertical="center"/>
    </xf>
    <xf numFmtId="2" fontId="11" fillId="0" borderId="15" xfId="0" applyNumberFormat="1" applyFont="1" applyBorder="1" applyAlignment="1">
      <alignment horizontal="left" vertical="center"/>
    </xf>
    <xf numFmtId="2" fontId="11" fillId="0" borderId="17" xfId="0" applyNumberFormat="1" applyFont="1" applyBorder="1" applyAlignment="1">
      <alignment horizontal="left" vertical="center"/>
    </xf>
    <xf numFmtId="2" fontId="24" fillId="0" borderId="18" xfId="0" applyNumberFormat="1" applyFont="1" applyBorder="1" applyAlignment="1">
      <alignment horizontal="center" vertical="center"/>
    </xf>
    <xf numFmtId="2" fontId="11" fillId="0" borderId="20" xfId="0" applyNumberFormat="1" applyFont="1" applyBorder="1" applyAlignment="1">
      <alignment horizontal="left" vertical="center"/>
    </xf>
    <xf numFmtId="2" fontId="30" fillId="0" borderId="0" xfId="0" applyNumberFormat="1" applyFont="1" applyAlignment="1">
      <alignment horizontal="center" vertical="center"/>
    </xf>
    <xf numFmtId="2" fontId="41" fillId="0" borderId="0" xfId="0" applyNumberFormat="1" applyFont="1" applyAlignment="1">
      <alignment horizontal="right"/>
    </xf>
    <xf numFmtId="2" fontId="11" fillId="0" borderId="16" xfId="0" applyNumberFormat="1" applyFont="1" applyBorder="1" applyAlignment="1">
      <alignment vertical="center"/>
    </xf>
    <xf numFmtId="2" fontId="11" fillId="0" borderId="17" xfId="0" quotePrefix="1" applyNumberFormat="1" applyFont="1" applyBorder="1" applyAlignment="1">
      <alignment horizontal="right"/>
    </xf>
    <xf numFmtId="2" fontId="11" fillId="0" borderId="19" xfId="0" applyNumberFormat="1" applyFont="1" applyBorder="1" applyAlignment="1">
      <alignment vertical="center"/>
    </xf>
    <xf numFmtId="2" fontId="11" fillId="0" borderId="18" xfId="0" applyNumberFormat="1" applyFont="1" applyBorder="1" applyAlignment="1">
      <alignment vertical="center"/>
    </xf>
    <xf numFmtId="2" fontId="11" fillId="0" borderId="20" xfId="0" quotePrefix="1" applyNumberFormat="1" applyFont="1" applyBorder="1" applyAlignment="1">
      <alignment horizontal="right"/>
    </xf>
    <xf numFmtId="2" fontId="14" fillId="0" borderId="0" xfId="0" applyNumberFormat="1" applyFont="1" applyAlignment="1">
      <alignment vertical="center"/>
    </xf>
    <xf numFmtId="2" fontId="46" fillId="0" borderId="0" xfId="0" applyNumberFormat="1" applyFont="1" applyAlignment="1">
      <alignment horizontal="left" vertical="center"/>
    </xf>
    <xf numFmtId="2" fontId="24" fillId="0" borderId="0" xfId="0" quotePrefix="1" applyNumberFormat="1" applyFont="1" applyAlignment="1">
      <alignment horizontal="left" vertical="center"/>
    </xf>
    <xf numFmtId="2" fontId="24" fillId="0" borderId="0" xfId="862" applyNumberFormat="1" applyFont="1" applyAlignment="1">
      <alignment vertical="center"/>
    </xf>
    <xf numFmtId="2" fontId="46" fillId="0" borderId="0" xfId="0" applyNumberFormat="1" applyFont="1" applyAlignment="1">
      <alignment vertical="center"/>
    </xf>
    <xf numFmtId="2" fontId="47" fillId="0" borderId="0" xfId="0" quotePrefix="1" applyNumberFormat="1" applyFont="1" applyAlignment="1">
      <alignment horizontal="left" vertical="center"/>
    </xf>
    <xf numFmtId="2" fontId="40" fillId="0" borderId="0" xfId="0" applyNumberFormat="1" applyFont="1" applyAlignment="1">
      <alignment horizontal="left" vertical="center"/>
    </xf>
    <xf numFmtId="2" fontId="37" fillId="0" borderId="7" xfId="0" quotePrefix="1" applyNumberFormat="1" applyFont="1" applyBorder="1" applyAlignment="1">
      <alignment horizontal="center" vertical="center"/>
    </xf>
    <xf numFmtId="2" fontId="11" fillId="0" borderId="7" xfId="0" applyNumberFormat="1" applyFont="1" applyBorder="1" applyAlignment="1">
      <alignment horizontal="center" vertical="center"/>
    </xf>
    <xf numFmtId="2" fontId="37" fillId="0" borderId="21" xfId="0" applyNumberFormat="1" applyFont="1" applyBorder="1" applyAlignment="1">
      <alignment horizontal="center" vertical="center"/>
    </xf>
    <xf numFmtId="2" fontId="51" fillId="0" borderId="21" xfId="0" applyNumberFormat="1" applyFont="1" applyBorder="1" applyAlignment="1">
      <alignment horizontal="center" vertical="center"/>
    </xf>
    <xf numFmtId="2" fontId="11" fillId="4" borderId="0" xfId="0" applyNumberFormat="1" applyFont="1" applyFill="1" applyAlignment="1">
      <alignment horizontal="center" vertical="center"/>
    </xf>
    <xf numFmtId="185" fontId="47" fillId="4" borderId="0" xfId="866" applyNumberFormat="1" applyFont="1" applyFill="1">
      <alignment vertical="center"/>
    </xf>
    <xf numFmtId="1" fontId="41" fillId="0" borderId="0" xfId="0" applyNumberFormat="1" applyFont="1" applyAlignment="1">
      <alignment vertical="center"/>
    </xf>
    <xf numFmtId="2" fontId="11" fillId="0" borderId="17" xfId="0" applyNumberFormat="1" applyFont="1" applyBorder="1" applyAlignment="1">
      <alignment vertical="center"/>
    </xf>
    <xf numFmtId="2" fontId="47" fillId="0" borderId="16" xfId="0" applyNumberFormat="1" applyFont="1" applyBorder="1" applyAlignment="1">
      <alignment vertical="center"/>
    </xf>
    <xf numFmtId="2" fontId="24" fillId="0" borderId="4" xfId="0" applyNumberFormat="1" applyFont="1" applyBorder="1" applyAlignment="1">
      <alignment vertical="center"/>
    </xf>
    <xf numFmtId="2" fontId="47" fillId="0" borderId="2" xfId="0" applyNumberFormat="1" applyFont="1" applyBorder="1" applyAlignment="1">
      <alignment vertical="center"/>
    </xf>
    <xf numFmtId="2" fontId="11" fillId="0" borderId="8" xfId="0" applyNumberFormat="1" applyFont="1" applyBorder="1" applyAlignment="1">
      <alignment vertical="center"/>
    </xf>
    <xf numFmtId="2" fontId="24" fillId="0" borderId="2" xfId="0" applyNumberFormat="1" applyFont="1" applyBorder="1" applyAlignment="1">
      <alignment horizontal="right" vertical="center"/>
    </xf>
    <xf numFmtId="2" fontId="11" fillId="0" borderId="4" xfId="0" applyNumberFormat="1" applyFont="1" applyBorder="1" applyAlignment="1">
      <alignment vertical="center"/>
    </xf>
    <xf numFmtId="2" fontId="47" fillId="0" borderId="2" xfId="0" applyNumberFormat="1" applyFont="1" applyBorder="1" applyAlignment="1">
      <alignment horizontal="right" vertical="center"/>
    </xf>
    <xf numFmtId="2" fontId="31" fillId="0" borderId="0" xfId="0" applyNumberFormat="1" applyFont="1" applyAlignment="1">
      <alignment vertical="center"/>
    </xf>
    <xf numFmtId="2" fontId="29" fillId="0" borderId="0" xfId="0" applyNumberFormat="1" applyFont="1" applyAlignment="1">
      <alignment vertical="center"/>
    </xf>
    <xf numFmtId="2" fontId="24" fillId="0" borderId="2" xfId="0" applyNumberFormat="1" applyFont="1" applyBorder="1" applyAlignment="1">
      <alignment horizontal="left" vertical="center"/>
    </xf>
    <xf numFmtId="2" fontId="24" fillId="0" borderId="0" xfId="0" applyNumberFormat="1" applyFont="1" applyAlignment="1" applyProtection="1">
      <alignment vertical="center"/>
      <protection hidden="1"/>
    </xf>
    <xf numFmtId="176" fontId="11" fillId="0" borderId="0" xfId="0" applyNumberFormat="1" applyFont="1" applyAlignment="1" applyProtection="1">
      <alignment vertical="center"/>
      <protection hidden="1"/>
    </xf>
    <xf numFmtId="2" fontId="37" fillId="0" borderId="0" xfId="0" quotePrefix="1" applyNumberFormat="1" applyFont="1" applyAlignment="1">
      <alignment vertical="center"/>
    </xf>
    <xf numFmtId="2" fontId="37" fillId="0" borderId="0" xfId="0" quotePrefix="1" applyNumberFormat="1" applyFont="1" applyAlignment="1">
      <alignment horizontal="right" vertical="center"/>
    </xf>
    <xf numFmtId="2" fontId="40" fillId="0" borderId="21" xfId="0" applyNumberFormat="1" applyFont="1" applyBorder="1" applyAlignment="1">
      <alignment horizontal="center" vertical="center"/>
    </xf>
    <xf numFmtId="1" fontId="40" fillId="4" borderId="0" xfId="0" applyNumberFormat="1" applyFont="1" applyFill="1" applyAlignment="1">
      <alignment horizontal="center" vertical="center"/>
    </xf>
    <xf numFmtId="2" fontId="56" fillId="0" borderId="0" xfId="0" applyNumberFormat="1" applyFont="1" applyAlignment="1">
      <alignment horizontal="left" vertical="center"/>
    </xf>
    <xf numFmtId="2" fontId="56" fillId="0" borderId="0" xfId="0" applyNumberFormat="1" applyFont="1" applyAlignment="1">
      <alignment vertical="center"/>
    </xf>
    <xf numFmtId="0" fontId="26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quotePrefix="1" applyFont="1" applyAlignment="1">
      <alignment horizontal="left" vertical="center"/>
    </xf>
    <xf numFmtId="0" fontId="41" fillId="0" borderId="0" xfId="0" applyFont="1" applyAlignment="1">
      <alignment vertical="center"/>
    </xf>
    <xf numFmtId="177" fontId="41" fillId="0" borderId="0" xfId="0" applyNumberFormat="1" applyFont="1" applyAlignment="1">
      <alignment vertical="center"/>
    </xf>
    <xf numFmtId="176" fontId="52" fillId="0" borderId="0" xfId="0" applyNumberFormat="1" applyFont="1" applyAlignment="1">
      <alignment vertical="center"/>
    </xf>
    <xf numFmtId="0" fontId="11" fillId="0" borderId="0" xfId="0" quotePrefix="1" applyFont="1" applyAlignment="1">
      <alignment horizontal="right" vertical="center"/>
    </xf>
    <xf numFmtId="0" fontId="24" fillId="0" borderId="0" xfId="0" quotePrefix="1" applyFont="1" applyAlignment="1">
      <alignment horizontal="left" vertical="center"/>
    </xf>
    <xf numFmtId="0" fontId="24" fillId="0" borderId="0" xfId="0" applyFont="1" applyAlignment="1">
      <alignment vertical="center"/>
    </xf>
    <xf numFmtId="2" fontId="11" fillId="0" borderId="13" xfId="0" applyNumberFormat="1" applyFont="1" applyBorder="1" applyAlignment="1">
      <alignment vertical="center"/>
    </xf>
    <xf numFmtId="2" fontId="11" fillId="0" borderId="14" xfId="0" applyNumberFormat="1" applyFont="1" applyBorder="1" applyAlignment="1">
      <alignment vertical="center"/>
    </xf>
    <xf numFmtId="2" fontId="11" fillId="0" borderId="15" xfId="0" applyNumberFormat="1" applyFont="1" applyBorder="1" applyAlignment="1">
      <alignment vertical="center"/>
    </xf>
    <xf numFmtId="2" fontId="11" fillId="0" borderId="20" xfId="0" applyNumberFormat="1" applyFont="1" applyBorder="1" applyAlignment="1">
      <alignment vertical="center"/>
    </xf>
    <xf numFmtId="1" fontId="11" fillId="0" borderId="1" xfId="212" applyNumberFormat="1" applyFont="1" applyBorder="1" applyAlignment="1">
      <alignment horizontal="left" vertical="center"/>
    </xf>
    <xf numFmtId="1" fontId="47" fillId="0" borderId="1" xfId="212" applyNumberFormat="1" applyFont="1" applyBorder="1" applyAlignment="1">
      <alignment horizontal="center" vertical="center"/>
    </xf>
    <xf numFmtId="1" fontId="48" fillId="0" borderId="1" xfId="212" applyNumberFormat="1" applyFont="1" applyBorder="1" applyAlignment="1">
      <alignment horizontal="center" vertical="center"/>
    </xf>
    <xf numFmtId="1" fontId="59" fillId="0" borderId="1" xfId="212" applyNumberFormat="1" applyFont="1" applyBorder="1" applyAlignment="1">
      <alignment horizontal="left" vertical="center"/>
    </xf>
    <xf numFmtId="0" fontId="24" fillId="0" borderId="0" xfId="863" applyFont="1" applyAlignment="1">
      <alignment horizontal="center" vertical="center"/>
    </xf>
    <xf numFmtId="186" fontId="40" fillId="0" borderId="0" xfId="863" applyNumberFormat="1" applyFont="1" applyAlignment="1">
      <alignment vertical="center"/>
    </xf>
    <xf numFmtId="0" fontId="40" fillId="0" borderId="0" xfId="208" applyFont="1" applyAlignment="1">
      <alignment horizontal="center" vertical="center"/>
    </xf>
    <xf numFmtId="178" fontId="41" fillId="0" borderId="1" xfId="177" applyNumberFormat="1" applyFont="1" applyBorder="1">
      <alignment vertical="center"/>
    </xf>
    <xf numFmtId="183" fontId="40" fillId="0" borderId="0" xfId="0" applyNumberFormat="1" applyFont="1" applyAlignment="1">
      <alignment vertical="center"/>
    </xf>
    <xf numFmtId="176" fontId="47" fillId="0" borderId="14" xfId="0" applyNumberFormat="1" applyFont="1" applyBorder="1" applyAlignment="1">
      <alignment vertical="center"/>
    </xf>
    <xf numFmtId="176" fontId="47" fillId="0" borderId="19" xfId="0" applyNumberFormat="1" applyFont="1" applyBorder="1" applyAlignment="1">
      <alignment vertical="center"/>
    </xf>
    <xf numFmtId="2" fontId="11" fillId="0" borderId="19" xfId="0" applyNumberFormat="1" applyFont="1" applyBorder="1" applyAlignment="1">
      <alignment horizontal="left" vertical="center"/>
    </xf>
    <xf numFmtId="2" fontId="11" fillId="0" borderId="14" xfId="0" applyNumberFormat="1" applyFont="1" applyBorder="1" applyAlignment="1">
      <alignment horizontal="left" vertical="center"/>
    </xf>
    <xf numFmtId="176" fontId="11" fillId="0" borderId="0" xfId="0" applyNumberFormat="1" applyFont="1" applyAlignment="1">
      <alignment horizontal="right" vertical="center"/>
    </xf>
    <xf numFmtId="176" fontId="11" fillId="0" borderId="0" xfId="0" quotePrefix="1" applyNumberFormat="1" applyFont="1" applyAlignment="1">
      <alignment horizontal="left" vertical="center"/>
    </xf>
    <xf numFmtId="176" fontId="37" fillId="0" borderId="0" xfId="0" applyNumberFormat="1" applyFont="1" applyAlignment="1">
      <alignment vertical="center"/>
    </xf>
    <xf numFmtId="176" fontId="47" fillId="0" borderId="0" xfId="0" applyNumberFormat="1" applyFont="1" applyAlignment="1">
      <alignment horizontal="right" vertical="center"/>
    </xf>
    <xf numFmtId="183" fontId="41" fillId="0" borderId="0" xfId="0" applyNumberFormat="1" applyFont="1" applyAlignment="1">
      <alignment vertical="center"/>
    </xf>
    <xf numFmtId="2" fontId="11" fillId="0" borderId="27" xfId="0" applyNumberFormat="1" applyFont="1" applyBorder="1" applyAlignment="1">
      <alignment horizontal="right" vertical="center"/>
    </xf>
    <xf numFmtId="176" fontId="47" fillId="0" borderId="27" xfId="0" applyNumberFormat="1" applyFont="1" applyBorder="1" applyAlignment="1">
      <alignment horizontal="right" vertical="center"/>
    </xf>
    <xf numFmtId="2" fontId="24" fillId="0" borderId="0" xfId="0" applyNumberFormat="1" applyFont="1" applyAlignment="1">
      <alignment horizontal="right" vertical="center" wrapText="1"/>
    </xf>
    <xf numFmtId="2" fontId="30" fillId="0" borderId="19" xfId="0" applyNumberFormat="1" applyFont="1" applyBorder="1" applyAlignment="1">
      <alignment horizontal="center" vertical="center"/>
    </xf>
    <xf numFmtId="2" fontId="40" fillId="0" borderId="0" xfId="0" applyNumberFormat="1" applyFont="1" applyAlignment="1">
      <alignment horizontal="center" vertical="center"/>
    </xf>
    <xf numFmtId="1" fontId="11" fillId="0" borderId="0" xfId="0" applyNumberFormat="1" applyFont="1" applyAlignment="1">
      <alignment vertical="center"/>
    </xf>
    <xf numFmtId="2" fontId="11" fillId="0" borderId="28" xfId="0" applyNumberFormat="1" applyFont="1" applyBorder="1" applyAlignment="1">
      <alignment horizontal="left" vertical="center"/>
    </xf>
    <xf numFmtId="3" fontId="11" fillId="0" borderId="0" xfId="0" applyNumberFormat="1" applyFont="1" applyAlignment="1">
      <alignment vertical="center"/>
    </xf>
    <xf numFmtId="3" fontId="11" fillId="0" borderId="19" xfId="0" applyNumberFormat="1" applyFont="1" applyBorder="1" applyAlignment="1">
      <alignment vertical="center"/>
    </xf>
    <xf numFmtId="3" fontId="47" fillId="0" borderId="27" xfId="0" applyNumberFormat="1" applyFont="1" applyBorder="1" applyAlignment="1">
      <alignment vertical="center"/>
    </xf>
    <xf numFmtId="3" fontId="47" fillId="0" borderId="26" xfId="0" applyNumberFormat="1" applyFont="1" applyBorder="1" applyAlignment="1">
      <alignment vertical="center"/>
    </xf>
    <xf numFmtId="189" fontId="11" fillId="0" borderId="0" xfId="0" applyNumberFormat="1" applyFont="1" applyAlignment="1">
      <alignment horizontal="right" vertical="center"/>
    </xf>
    <xf numFmtId="3" fontId="41" fillId="0" borderId="0" xfId="0" applyNumberFormat="1" applyFont="1" applyAlignment="1">
      <alignment vertical="center"/>
    </xf>
    <xf numFmtId="189" fontId="11" fillId="0" borderId="0" xfId="0" applyNumberFormat="1" applyFont="1" applyAlignment="1">
      <alignment vertical="center"/>
    </xf>
    <xf numFmtId="189" fontId="41" fillId="0" borderId="0" xfId="0" applyNumberFormat="1" applyFont="1" applyAlignment="1">
      <alignment vertical="center"/>
    </xf>
    <xf numFmtId="4" fontId="41" fillId="0" borderId="0" xfId="0" applyNumberFormat="1" applyFont="1" applyAlignment="1">
      <alignment vertical="center"/>
    </xf>
    <xf numFmtId="3" fontId="47" fillId="0" borderId="0" xfId="0" applyNumberFormat="1" applyFont="1" applyAlignment="1">
      <alignment vertical="center"/>
    </xf>
    <xf numFmtId="3" fontId="11" fillId="0" borderId="0" xfId="0" applyNumberFormat="1" applyFont="1" applyAlignment="1">
      <alignment horizontal="right" vertical="center"/>
    </xf>
    <xf numFmtId="176" fontId="47" fillId="0" borderId="27" xfId="0" applyNumberFormat="1" applyFont="1" applyBorder="1" applyAlignment="1">
      <alignment vertical="center"/>
    </xf>
    <xf numFmtId="189" fontId="47" fillId="0" borderId="27" xfId="0" applyNumberFormat="1" applyFont="1" applyBorder="1" applyAlignment="1">
      <alignment vertical="center"/>
    </xf>
    <xf numFmtId="4" fontId="14" fillId="0" borderId="0" xfId="0" applyNumberFormat="1" applyFont="1" applyAlignment="1">
      <alignment vertical="center"/>
    </xf>
    <xf numFmtId="189" fontId="47" fillId="0" borderId="0" xfId="0" applyNumberFormat="1" applyFont="1" applyAlignment="1">
      <alignment vertical="center"/>
    </xf>
    <xf numFmtId="4" fontId="47" fillId="0" borderId="0" xfId="0" applyNumberFormat="1" applyFont="1" applyAlignment="1">
      <alignment vertical="center"/>
    </xf>
    <xf numFmtId="3" fontId="47" fillId="0" borderId="19" xfId="0" applyNumberFormat="1" applyFont="1" applyBorder="1" applyAlignment="1">
      <alignment vertical="center"/>
    </xf>
    <xf numFmtId="4" fontId="11" fillId="0" borderId="0" xfId="0" applyNumberFormat="1" applyFont="1" applyAlignment="1">
      <alignment vertical="center"/>
    </xf>
    <xf numFmtId="0" fontId="47" fillId="0" borderId="1" xfId="0" applyFont="1" applyBorder="1" applyAlignment="1">
      <alignment horizontal="right" vertical="center"/>
    </xf>
    <xf numFmtId="1" fontId="11" fillId="0" borderId="1" xfId="0" applyNumberFormat="1" applyFont="1" applyBorder="1" applyAlignment="1">
      <alignment horizontal="center" vertical="center"/>
    </xf>
    <xf numFmtId="186" fontId="11" fillId="0" borderId="1" xfId="0" applyNumberFormat="1" applyFont="1" applyBorder="1" applyAlignment="1">
      <alignment horizontal="right" vertical="center"/>
    </xf>
    <xf numFmtId="0" fontId="11" fillId="0" borderId="6" xfId="0" applyFont="1" applyBorder="1" applyAlignment="1">
      <alignment vertical="center"/>
    </xf>
    <xf numFmtId="0" fontId="11" fillId="0" borderId="25" xfId="0" applyFont="1" applyBorder="1" applyAlignment="1">
      <alignment vertical="center"/>
    </xf>
    <xf numFmtId="2" fontId="47" fillId="0" borderId="1" xfId="0" applyNumberFormat="1" applyFont="1" applyBorder="1" applyAlignment="1">
      <alignment horizontal="center" vertical="center"/>
    </xf>
    <xf numFmtId="2" fontId="74" fillId="0" borderId="0" xfId="0" applyNumberFormat="1" applyFont="1" applyAlignment="1">
      <alignment vertical="center"/>
    </xf>
    <xf numFmtId="176" fontId="74" fillId="0" borderId="0" xfId="0" applyNumberFormat="1" applyFont="1" applyAlignment="1">
      <alignment horizontal="left" vertical="center"/>
    </xf>
    <xf numFmtId="2" fontId="74" fillId="0" borderId="0" xfId="0" applyNumberFormat="1" applyFont="1" applyAlignment="1">
      <alignment horizontal="center" vertical="center"/>
    </xf>
    <xf numFmtId="2" fontId="74" fillId="0" borderId="1" xfId="0" applyNumberFormat="1" applyFont="1" applyBorder="1" applyAlignment="1">
      <alignment horizontal="center" vertical="center"/>
    </xf>
    <xf numFmtId="1" fontId="74" fillId="0" borderId="1" xfId="0" applyNumberFormat="1" applyFont="1" applyBorder="1" applyAlignment="1">
      <alignment horizontal="center" vertical="center"/>
    </xf>
    <xf numFmtId="176" fontId="74" fillId="0" borderId="0" xfId="0" applyNumberFormat="1" applyFont="1" applyAlignment="1">
      <alignment horizontal="center" vertical="center"/>
    </xf>
    <xf numFmtId="176" fontId="80" fillId="0" borderId="0" xfId="0" applyNumberFormat="1" applyFont="1" applyAlignment="1">
      <alignment horizontal="left" vertical="center"/>
    </xf>
    <xf numFmtId="1" fontId="74" fillId="0" borderId="0" xfId="0" applyNumberFormat="1" applyFont="1" applyAlignment="1">
      <alignment horizontal="right" vertical="center"/>
    </xf>
    <xf numFmtId="187" fontId="74" fillId="0" borderId="0" xfId="0" applyNumberFormat="1" applyFont="1" applyAlignment="1">
      <alignment horizontal="left" vertical="center"/>
    </xf>
    <xf numFmtId="176" fontId="74" fillId="0" borderId="0" xfId="0" applyNumberFormat="1" applyFont="1" applyAlignment="1">
      <alignment horizontal="right" vertical="center"/>
    </xf>
    <xf numFmtId="0" fontId="74" fillId="0" borderId="0" xfId="0" applyFont="1" applyAlignment="1">
      <alignment vertical="center"/>
    </xf>
    <xf numFmtId="176" fontId="80" fillId="0" borderId="0" xfId="0" applyNumberFormat="1" applyFont="1" applyAlignment="1">
      <alignment vertical="center"/>
    </xf>
    <xf numFmtId="2" fontId="74" fillId="0" borderId="25" xfId="0" applyNumberFormat="1" applyFont="1" applyBorder="1" applyAlignment="1">
      <alignment horizontal="left" vertical="center"/>
    </xf>
    <xf numFmtId="0" fontId="82" fillId="0" borderId="0" xfId="0" applyFont="1" applyAlignment="1">
      <alignment horizontal="right" vertical="center"/>
    </xf>
    <xf numFmtId="0" fontId="74" fillId="0" borderId="0" xfId="0" applyFont="1" applyAlignment="1">
      <alignment horizontal="center" vertical="center"/>
    </xf>
    <xf numFmtId="0" fontId="79" fillId="0" borderId="0" xfId="0" applyFont="1" applyAlignment="1">
      <alignment vertical="center"/>
    </xf>
    <xf numFmtId="0" fontId="83" fillId="0" borderId="0" xfId="0" applyFont="1" applyAlignment="1">
      <alignment vertical="center"/>
    </xf>
    <xf numFmtId="0" fontId="74" fillId="0" borderId="0" xfId="0" applyFont="1" applyAlignment="1">
      <alignment horizontal="right" vertical="center"/>
    </xf>
    <xf numFmtId="0" fontId="74" fillId="0" borderId="0" xfId="0" quotePrefix="1" applyFont="1" applyAlignment="1">
      <alignment vertical="center"/>
    </xf>
    <xf numFmtId="2" fontId="74" fillId="0" borderId="0" xfId="0" applyNumberFormat="1" applyFont="1" applyAlignment="1">
      <alignment horizontal="left" vertical="center"/>
    </xf>
    <xf numFmtId="176" fontId="60" fillId="0" borderId="0" xfId="0" applyNumberFormat="1" applyFont="1" applyAlignment="1">
      <alignment vertical="center"/>
    </xf>
    <xf numFmtId="0" fontId="74" fillId="0" borderId="0" xfId="0" quotePrefix="1" applyFont="1" applyAlignment="1">
      <alignment horizontal="left" vertical="center"/>
    </xf>
    <xf numFmtId="0" fontId="74" fillId="0" borderId="0" xfId="0" applyFont="1" applyAlignment="1">
      <alignment horizontal="left" vertical="center"/>
    </xf>
    <xf numFmtId="2" fontId="74" fillId="0" borderId="0" xfId="0" quotePrefix="1" applyNumberFormat="1" applyFont="1" applyAlignment="1">
      <alignment vertical="center"/>
    </xf>
    <xf numFmtId="2" fontId="74" fillId="0" borderId="0" xfId="0" applyNumberFormat="1" applyFont="1" applyAlignment="1">
      <alignment horizontal="right" vertical="center"/>
    </xf>
    <xf numFmtId="2" fontId="74" fillId="0" borderId="0" xfId="0" quotePrefix="1" applyNumberFormat="1" applyFont="1" applyAlignment="1">
      <alignment horizontal="center" vertical="center"/>
    </xf>
    <xf numFmtId="180" fontId="74" fillId="0" borderId="0" xfId="0" applyNumberFormat="1" applyFont="1" applyAlignment="1">
      <alignment horizontal="left" vertical="center"/>
    </xf>
    <xf numFmtId="176" fontId="74" fillId="2" borderId="0" xfId="0" applyNumberFormat="1" applyFont="1" applyFill="1" applyAlignment="1">
      <alignment horizontal="center" vertical="center"/>
    </xf>
    <xf numFmtId="176" fontId="80" fillId="0" borderId="0" xfId="0" quotePrefix="1" applyNumberFormat="1" applyFont="1" applyAlignment="1">
      <alignment horizontal="left" vertical="center"/>
    </xf>
    <xf numFmtId="176" fontId="74" fillId="0" borderId="0" xfId="0" applyNumberFormat="1" applyFont="1" applyAlignment="1">
      <alignment vertical="center"/>
    </xf>
    <xf numFmtId="1" fontId="60" fillId="0" borderId="1" xfId="0" applyNumberFormat="1" applyFont="1" applyBorder="1" applyAlignment="1">
      <alignment horizontal="center" vertical="center"/>
    </xf>
    <xf numFmtId="1" fontId="74" fillId="0" borderId="0" xfId="0" applyNumberFormat="1" applyFont="1" applyAlignment="1">
      <alignment horizontal="center" vertical="center"/>
    </xf>
    <xf numFmtId="0" fontId="80" fillId="0" borderId="0" xfId="0" applyFont="1" applyAlignment="1">
      <alignment vertical="center"/>
    </xf>
    <xf numFmtId="0" fontId="80" fillId="0" borderId="0" xfId="0" applyFont="1" applyAlignment="1">
      <alignment horizontal="left" vertical="center"/>
    </xf>
    <xf numFmtId="0" fontId="88" fillId="0" borderId="0" xfId="0" applyFont="1" applyAlignment="1">
      <alignment vertical="center"/>
    </xf>
    <xf numFmtId="2" fontId="60" fillId="0" borderId="0" xfId="0" applyNumberFormat="1" applyFont="1" applyAlignment="1">
      <alignment vertical="center"/>
    </xf>
    <xf numFmtId="1" fontId="74" fillId="0" borderId="0" xfId="0" applyNumberFormat="1" applyFont="1" applyAlignment="1">
      <alignment vertical="center"/>
    </xf>
    <xf numFmtId="1" fontId="74" fillId="0" borderId="0" xfId="0" applyNumberFormat="1" applyFont="1" applyAlignment="1">
      <alignment horizontal="left" vertical="center"/>
    </xf>
    <xf numFmtId="176" fontId="74" fillId="0" borderId="0" xfId="0" applyNumberFormat="1" applyFont="1" applyAlignment="1">
      <alignment horizontal="right" vertical="center" wrapText="1"/>
    </xf>
    <xf numFmtId="2" fontId="74" fillId="0" borderId="0" xfId="0" applyNumberFormat="1" applyFont="1" applyAlignment="1">
      <alignment horizontal="right" vertical="center" wrapText="1"/>
    </xf>
    <xf numFmtId="186" fontId="74" fillId="0" borderId="0" xfId="0" applyNumberFormat="1" applyFont="1" applyAlignment="1">
      <alignment horizontal="right" vertical="center"/>
    </xf>
    <xf numFmtId="176" fontId="74" fillId="0" borderId="0" xfId="0" applyNumberFormat="1" applyFont="1" applyAlignment="1">
      <alignment horizontal="left" vertical="center" wrapText="1"/>
    </xf>
    <xf numFmtId="176" fontId="93" fillId="0" borderId="0" xfId="0" applyNumberFormat="1" applyFont="1" applyAlignment="1">
      <alignment horizontal="left" vertical="center"/>
    </xf>
    <xf numFmtId="176" fontId="74" fillId="5" borderId="2" xfId="0" applyNumberFormat="1" applyFont="1" applyFill="1" applyBorder="1" applyAlignment="1">
      <alignment horizontal="center" vertical="center"/>
    </xf>
    <xf numFmtId="176" fontId="74" fillId="5" borderId="4" xfId="0" applyNumberFormat="1" applyFont="1" applyFill="1" applyBorder="1" applyAlignment="1">
      <alignment horizontal="center" vertical="center"/>
    </xf>
    <xf numFmtId="176" fontId="80" fillId="0" borderId="2" xfId="0" applyNumberFormat="1" applyFont="1" applyBorder="1" applyAlignment="1">
      <alignment horizontal="left" vertical="center"/>
    </xf>
    <xf numFmtId="176" fontId="74" fillId="0" borderId="8" xfId="0" applyNumberFormat="1" applyFont="1" applyBorder="1" applyAlignment="1">
      <alignment horizontal="left" vertical="center"/>
    </xf>
    <xf numFmtId="176" fontId="74" fillId="0" borderId="2" xfId="0" applyNumberFormat="1" applyFont="1" applyBorder="1" applyAlignment="1">
      <alignment horizontal="left" vertical="center"/>
    </xf>
    <xf numFmtId="2" fontId="53" fillId="0" borderId="0" xfId="0" applyNumberFormat="1" applyFont="1" applyAlignment="1">
      <alignment horizontal="center" vertical="center"/>
    </xf>
    <xf numFmtId="1" fontId="74" fillId="0" borderId="4" xfId="0" applyNumberFormat="1" applyFont="1" applyBorder="1" applyAlignment="1">
      <alignment horizontal="right" vertical="center"/>
    </xf>
    <xf numFmtId="176" fontId="74" fillId="0" borderId="0" xfId="0" quotePrefix="1" applyNumberFormat="1" applyFont="1" applyAlignment="1">
      <alignment horizontal="left" vertical="center"/>
    </xf>
    <xf numFmtId="2" fontId="83" fillId="0" borderId="0" xfId="0" applyNumberFormat="1" applyFont="1" applyAlignment="1">
      <alignment horizontal="right" vertical="center"/>
    </xf>
    <xf numFmtId="176" fontId="74" fillId="5" borderId="39" xfId="0" applyNumberFormat="1" applyFont="1" applyFill="1" applyBorder="1" applyAlignment="1">
      <alignment horizontal="center" vertical="center"/>
    </xf>
    <xf numFmtId="176" fontId="74" fillId="5" borderId="1" xfId="0" applyNumberFormat="1" applyFont="1" applyFill="1" applyBorder="1" applyAlignment="1">
      <alignment horizontal="center" vertical="center"/>
    </xf>
    <xf numFmtId="176" fontId="74" fillId="0" borderId="4" xfId="0" applyNumberFormat="1" applyFont="1" applyBorder="1" applyAlignment="1">
      <alignment horizontal="right" vertical="center" indent="1"/>
    </xf>
    <xf numFmtId="176" fontId="74" fillId="0" borderId="39" xfId="0" applyNumberFormat="1" applyFont="1" applyBorder="1" applyAlignment="1">
      <alignment horizontal="right" vertical="center" indent="1"/>
    </xf>
    <xf numFmtId="185" fontId="74" fillId="0" borderId="39" xfId="0" applyNumberFormat="1" applyFont="1" applyBorder="1" applyAlignment="1">
      <alignment horizontal="right" vertical="center" indent="1"/>
    </xf>
    <xf numFmtId="176" fontId="60" fillId="0" borderId="2" xfId="0" applyNumberFormat="1" applyFont="1" applyBorder="1" applyAlignment="1">
      <alignment horizontal="center" vertical="center"/>
    </xf>
    <xf numFmtId="176" fontId="74" fillId="5" borderId="5" xfId="0" applyNumberFormat="1" applyFont="1" applyFill="1" applyBorder="1"/>
    <xf numFmtId="2" fontId="74" fillId="0" borderId="4" xfId="0" applyNumberFormat="1" applyFont="1" applyBorder="1" applyAlignment="1">
      <alignment horizontal="right" vertical="center" indent="1"/>
    </xf>
    <xf numFmtId="2" fontId="74" fillId="0" borderId="8" xfId="0" applyNumberFormat="1" applyFont="1" applyBorder="1" applyAlignment="1">
      <alignment horizontal="center" vertical="center"/>
    </xf>
    <xf numFmtId="176" fontId="74" fillId="5" borderId="25" xfId="0" applyNumberFormat="1" applyFont="1" applyFill="1" applyBorder="1" applyAlignment="1">
      <alignment horizontal="left" vertical="center"/>
    </xf>
    <xf numFmtId="2" fontId="74" fillId="0" borderId="39" xfId="0" applyNumberFormat="1" applyFont="1" applyBorder="1" applyAlignment="1">
      <alignment horizontal="right" vertical="center" indent="1"/>
    </xf>
    <xf numFmtId="186" fontId="74" fillId="0" borderId="0" xfId="0" applyNumberFormat="1" applyFont="1" applyAlignment="1">
      <alignment horizontal="left" vertical="center"/>
    </xf>
    <xf numFmtId="193" fontId="74" fillId="0" borderId="0" xfId="0" applyNumberFormat="1" applyFont="1" applyAlignment="1">
      <alignment vertical="center"/>
    </xf>
    <xf numFmtId="3" fontId="74" fillId="0" borderId="0" xfId="0" applyNumberFormat="1" applyFont="1" applyAlignment="1">
      <alignment horizontal="right" vertical="center"/>
    </xf>
    <xf numFmtId="3" fontId="74" fillId="0" borderId="0" xfId="0" applyNumberFormat="1" applyFont="1" applyAlignment="1">
      <alignment vertical="center"/>
    </xf>
    <xf numFmtId="186" fontId="74" fillId="0" borderId="0" xfId="0" applyNumberFormat="1" applyFont="1" applyAlignment="1">
      <alignment vertical="center"/>
    </xf>
    <xf numFmtId="191" fontId="79" fillId="0" borderId="0" xfId="0" applyNumberFormat="1" applyFont="1" applyAlignment="1">
      <alignment horizontal="center" vertical="center"/>
    </xf>
    <xf numFmtId="0" fontId="74" fillId="0" borderId="0" xfId="0" quotePrefix="1" applyFont="1" applyAlignment="1">
      <alignment horizontal="right" vertical="center"/>
    </xf>
    <xf numFmtId="176" fontId="74" fillId="6" borderId="0" xfId="0" applyNumberFormat="1" applyFont="1" applyFill="1" applyAlignment="1">
      <alignment vertical="center"/>
    </xf>
    <xf numFmtId="11" fontId="74" fillId="0" borderId="0" xfId="0" applyNumberFormat="1" applyFont="1" applyAlignment="1">
      <alignment vertical="center"/>
    </xf>
    <xf numFmtId="2" fontId="74" fillId="6" borderId="0" xfId="0" applyNumberFormat="1" applyFont="1" applyFill="1" applyAlignment="1">
      <alignment horizontal="right" vertical="center"/>
    </xf>
    <xf numFmtId="0" fontId="74" fillId="0" borderId="4" xfId="0" applyFont="1" applyBorder="1" applyAlignment="1">
      <alignment horizontal="right" vertical="center"/>
    </xf>
    <xf numFmtId="2" fontId="60" fillId="0" borderId="8" xfId="0" applyNumberFormat="1" applyFont="1" applyBorder="1" applyAlignment="1">
      <alignment horizontal="center" vertical="center"/>
    </xf>
    <xf numFmtId="0" fontId="74" fillId="0" borderId="9" xfId="0" applyFont="1" applyBorder="1" applyAlignment="1">
      <alignment horizontal="center" vertical="center"/>
    </xf>
    <xf numFmtId="0" fontId="74" fillId="0" borderId="1" xfId="0" applyFont="1" applyBorder="1" applyAlignment="1">
      <alignment horizontal="center" vertical="center"/>
    </xf>
    <xf numFmtId="190" fontId="74" fillId="0" borderId="0" xfId="0" applyNumberFormat="1" applyFont="1" applyAlignment="1">
      <alignment horizontal="right" vertical="center"/>
    </xf>
    <xf numFmtId="2" fontId="94" fillId="0" borderId="1" xfId="0" applyNumberFormat="1" applyFont="1" applyBorder="1" applyAlignment="1">
      <alignment horizontal="left" vertical="center"/>
    </xf>
    <xf numFmtId="178" fontId="74" fillId="0" borderId="1" xfId="0" applyNumberFormat="1" applyFont="1" applyBorder="1" applyAlignment="1">
      <alignment horizontal="center" vertical="center"/>
    </xf>
    <xf numFmtId="176" fontId="94" fillId="0" borderId="37" xfId="0" applyNumberFormat="1" applyFont="1" applyBorder="1" applyAlignment="1">
      <alignment horizontal="left" vertical="center"/>
    </xf>
    <xf numFmtId="178" fontId="94" fillId="0" borderId="0" xfId="0" applyNumberFormat="1" applyFont="1" applyAlignment="1">
      <alignment horizontal="center" vertical="center"/>
    </xf>
    <xf numFmtId="0" fontId="94" fillId="0" borderId="0" xfId="0" applyFont="1" applyAlignment="1">
      <alignment vertical="center"/>
    </xf>
    <xf numFmtId="178" fontId="94" fillId="0" borderId="0" xfId="0" applyNumberFormat="1" applyFont="1" applyAlignment="1">
      <alignment vertical="center"/>
    </xf>
    <xf numFmtId="0" fontId="94" fillId="0" borderId="0" xfId="0" applyFont="1" applyAlignment="1">
      <alignment horizontal="center" vertical="center"/>
    </xf>
    <xf numFmtId="179" fontId="74" fillId="0" borderId="1" xfId="0" applyNumberFormat="1" applyFont="1" applyBorder="1" applyAlignment="1">
      <alignment horizontal="center" vertical="center"/>
    </xf>
    <xf numFmtId="0" fontId="74" fillId="0" borderId="0" xfId="0" quotePrefix="1" applyFont="1" applyAlignment="1">
      <alignment horizontal="center" vertical="center"/>
    </xf>
    <xf numFmtId="179" fontId="74" fillId="0" borderId="1" xfId="0" applyNumberFormat="1" applyFont="1" applyBorder="1" applyAlignment="1">
      <alignment horizontal="right" vertical="center"/>
    </xf>
    <xf numFmtId="176" fontId="94" fillId="0" borderId="0" xfId="0" applyNumberFormat="1" applyFont="1" applyAlignment="1">
      <alignment horizontal="left" vertical="center"/>
    </xf>
    <xf numFmtId="177" fontId="74" fillId="0" borderId="1" xfId="0" applyNumberFormat="1" applyFont="1" applyBorder="1" applyAlignment="1">
      <alignment horizontal="right" vertical="center"/>
    </xf>
    <xf numFmtId="177" fontId="94" fillId="0" borderId="0" xfId="0" applyNumberFormat="1" applyFont="1" applyAlignment="1">
      <alignment horizontal="center" vertical="center"/>
    </xf>
    <xf numFmtId="2" fontId="74" fillId="6" borderId="0" xfId="0" applyNumberFormat="1" applyFont="1" applyFill="1" applyAlignment="1">
      <alignment vertical="center"/>
    </xf>
    <xf numFmtId="194" fontId="74" fillId="0" borderId="0" xfId="0" applyNumberFormat="1" applyFont="1" applyAlignment="1">
      <alignment horizontal="right" vertical="center"/>
    </xf>
    <xf numFmtId="2" fontId="83" fillId="0" borderId="0" xfId="0" applyNumberFormat="1" applyFont="1" applyAlignment="1">
      <alignment horizontal="center" vertical="center"/>
    </xf>
    <xf numFmtId="2" fontId="83" fillId="0" borderId="0" xfId="0" applyNumberFormat="1" applyFont="1" applyAlignment="1">
      <alignment horizontal="left" vertical="center"/>
    </xf>
    <xf numFmtId="2" fontId="74" fillId="0" borderId="0" xfId="0" quotePrefix="1" applyNumberFormat="1" applyFont="1" applyAlignment="1">
      <alignment horizontal="right" vertical="center"/>
    </xf>
    <xf numFmtId="1" fontId="74" fillId="0" borderId="4" xfId="0" applyNumberFormat="1" applyFont="1" applyBorder="1" applyAlignment="1">
      <alignment vertical="center"/>
    </xf>
    <xf numFmtId="2" fontId="74" fillId="0" borderId="5" xfId="0" applyNumberFormat="1" applyFont="1" applyBorder="1" applyAlignment="1">
      <alignment horizontal="left" vertical="center"/>
    </xf>
    <xf numFmtId="2" fontId="80" fillId="5" borderId="40" xfId="0" applyNumberFormat="1" applyFont="1" applyFill="1" applyBorder="1" applyAlignment="1">
      <alignment horizontal="center" vertical="center"/>
    </xf>
    <xf numFmtId="2" fontId="80" fillId="5" borderId="4" xfId="0" applyNumberFormat="1" applyFont="1" applyFill="1" applyBorder="1" applyAlignment="1">
      <alignment horizontal="center" vertical="center"/>
    </xf>
    <xf numFmtId="176" fontId="80" fillId="5" borderId="40" xfId="0" applyNumberFormat="1" applyFont="1" applyFill="1" applyBorder="1" applyAlignment="1">
      <alignment horizontal="center" vertical="center"/>
    </xf>
    <xf numFmtId="176" fontId="80" fillId="5" borderId="2" xfId="0" applyNumberFormat="1" applyFont="1" applyFill="1" applyBorder="1" applyAlignment="1">
      <alignment horizontal="center" vertical="center"/>
    </xf>
    <xf numFmtId="176" fontId="60" fillId="0" borderId="2" xfId="0" applyNumberFormat="1" applyFont="1" applyBorder="1" applyAlignment="1">
      <alignment horizontal="right" vertical="center" indent="1"/>
    </xf>
    <xf numFmtId="176" fontId="74" fillId="0" borderId="0" xfId="0" applyNumberFormat="1" applyFont="1" applyAlignment="1">
      <alignment horizontal="left" vertical="center" shrinkToFit="1"/>
    </xf>
    <xf numFmtId="2" fontId="60" fillId="0" borderId="4" xfId="0" applyNumberFormat="1" applyFont="1" applyBorder="1" applyAlignment="1">
      <alignment horizontal="right" vertical="center"/>
    </xf>
    <xf numFmtId="1" fontId="92" fillId="0" borderId="8" xfId="0" quotePrefix="1" applyNumberFormat="1" applyFont="1" applyBorder="1" applyAlignment="1">
      <alignment horizontal="center" vertical="center"/>
    </xf>
    <xf numFmtId="2" fontId="83" fillId="0" borderId="0" xfId="0" applyNumberFormat="1" applyFont="1" applyAlignment="1">
      <alignment vertical="center"/>
    </xf>
    <xf numFmtId="2" fontId="83" fillId="0" borderId="0" xfId="0" quotePrefix="1" applyNumberFormat="1" applyFont="1" applyAlignment="1">
      <alignment horizontal="left" vertical="center"/>
    </xf>
    <xf numFmtId="2" fontId="74" fillId="0" borderId="0" xfId="0" quotePrefix="1" applyNumberFormat="1" applyFont="1" applyAlignment="1">
      <alignment horizontal="left" vertical="center"/>
    </xf>
    <xf numFmtId="1" fontId="92" fillId="0" borderId="0" xfId="0" applyNumberFormat="1" applyFont="1" applyAlignment="1">
      <alignment horizontal="left" vertical="center"/>
    </xf>
    <xf numFmtId="1" fontId="83" fillId="0" borderId="7" xfId="0" quotePrefix="1" applyNumberFormat="1" applyFont="1" applyBorder="1" applyAlignment="1">
      <alignment horizontal="center" vertical="center"/>
    </xf>
    <xf numFmtId="2" fontId="80" fillId="0" borderId="0" xfId="0" applyNumberFormat="1" applyFont="1" applyAlignment="1">
      <alignment horizontal="center" vertical="center"/>
    </xf>
    <xf numFmtId="2" fontId="83" fillId="0" borderId="7" xfId="0" applyNumberFormat="1" applyFont="1" applyBorder="1" applyAlignment="1">
      <alignment horizontal="right" vertical="center"/>
    </xf>
    <xf numFmtId="2" fontId="83" fillId="0" borderId="3" xfId="0" applyNumberFormat="1" applyFont="1" applyBorder="1" applyAlignment="1">
      <alignment horizontal="center" vertical="center"/>
    </xf>
    <xf numFmtId="2" fontId="83" fillId="0" borderId="7" xfId="0" applyNumberFormat="1" applyFont="1" applyBorder="1" applyAlignment="1">
      <alignment horizontal="center" vertical="center"/>
    </xf>
    <xf numFmtId="191" fontId="83" fillId="0" borderId="7" xfId="0" applyNumberFormat="1" applyFont="1" applyBorder="1" applyAlignment="1">
      <alignment horizontal="center" vertical="center"/>
    </xf>
    <xf numFmtId="2" fontId="89" fillId="0" borderId="7" xfId="0" applyNumberFormat="1" applyFont="1" applyBorder="1" applyAlignment="1">
      <alignment horizontal="center" vertical="center"/>
    </xf>
    <xf numFmtId="2" fontId="80" fillId="0" borderId="5" xfId="0" applyNumberFormat="1" applyFont="1" applyBorder="1" applyAlignment="1">
      <alignment horizontal="center" vertical="top"/>
    </xf>
    <xf numFmtId="0" fontId="83" fillId="0" borderId="0" xfId="0" applyFont="1" applyAlignment="1">
      <alignment horizontal="right" vertical="center"/>
    </xf>
    <xf numFmtId="2" fontId="83" fillId="0" borderId="22" xfId="0" applyNumberFormat="1" applyFont="1" applyBorder="1" applyAlignment="1">
      <alignment horizontal="right" vertical="center"/>
    </xf>
    <xf numFmtId="2" fontId="83" fillId="0" borderId="6" xfId="0" applyNumberFormat="1" applyFont="1" applyBorder="1" applyAlignment="1">
      <alignment horizontal="center" vertical="center"/>
    </xf>
    <xf numFmtId="2" fontId="83" fillId="0" borderId="9" xfId="0" applyNumberFormat="1" applyFont="1" applyBorder="1" applyAlignment="1">
      <alignment horizontal="center" vertical="center"/>
    </xf>
    <xf numFmtId="191" fontId="83" fillId="0" borderId="22" xfId="0" applyNumberFormat="1" applyFont="1" applyBorder="1" applyAlignment="1">
      <alignment horizontal="center" vertical="center"/>
    </xf>
    <xf numFmtId="2" fontId="89" fillId="0" borderId="22" xfId="0" applyNumberFormat="1" applyFont="1" applyBorder="1" applyAlignment="1">
      <alignment horizontal="center" vertical="center"/>
    </xf>
    <xf numFmtId="2" fontId="83" fillId="0" borderId="22" xfId="0" applyNumberFormat="1" applyFont="1" applyBorder="1" applyAlignment="1">
      <alignment horizontal="center" vertical="center"/>
    </xf>
    <xf numFmtId="0" fontId="74" fillId="0" borderId="7" xfId="0" applyFont="1" applyBorder="1" applyAlignment="1">
      <alignment horizontal="center" vertical="center"/>
    </xf>
    <xf numFmtId="176" fontId="83" fillId="0" borderId="0" xfId="0" applyNumberFormat="1" applyFont="1" applyAlignment="1">
      <alignment vertical="center"/>
    </xf>
    <xf numFmtId="191" fontId="83" fillId="0" borderId="9" xfId="0" applyNumberFormat="1" applyFont="1" applyBorder="1" applyAlignment="1">
      <alignment horizontal="center" vertical="center"/>
    </xf>
    <xf numFmtId="2" fontId="89" fillId="0" borderId="9" xfId="0" applyNumberFormat="1" applyFont="1" applyBorder="1" applyAlignment="1">
      <alignment horizontal="center" vertical="center"/>
    </xf>
    <xf numFmtId="2" fontId="83" fillId="0" borderId="9" xfId="0" applyNumberFormat="1" applyFont="1" applyBorder="1" applyAlignment="1">
      <alignment horizontal="right" vertical="center"/>
    </xf>
    <xf numFmtId="176" fontId="83" fillId="0" borderId="9" xfId="0" applyNumberFormat="1" applyFont="1" applyBorder="1" applyAlignment="1">
      <alignment horizontal="center" vertical="center"/>
    </xf>
    <xf numFmtId="191" fontId="83" fillId="0" borderId="21" xfId="0" applyNumberFormat="1" applyFont="1" applyBorder="1" applyAlignment="1">
      <alignment horizontal="center" vertical="center"/>
    </xf>
    <xf numFmtId="2" fontId="92" fillId="0" borderId="23" xfId="0" applyNumberFormat="1" applyFont="1" applyBorder="1" applyAlignment="1">
      <alignment horizontal="center" vertical="center"/>
    </xf>
    <xf numFmtId="2" fontId="92" fillId="0" borderId="24" xfId="0" applyNumberFormat="1" applyFont="1" applyBorder="1" applyAlignment="1">
      <alignment horizontal="center" vertical="center"/>
    </xf>
    <xf numFmtId="1" fontId="83" fillId="0" borderId="0" xfId="0" applyNumberFormat="1" applyFont="1" applyAlignment="1">
      <alignment vertical="center"/>
    </xf>
    <xf numFmtId="1" fontId="89" fillId="0" borderId="0" xfId="0" quotePrefix="1" applyNumberFormat="1" applyFont="1" applyAlignment="1">
      <alignment horizontal="left" vertical="center"/>
    </xf>
    <xf numFmtId="2" fontId="99" fillId="0" borderId="0" xfId="0" applyNumberFormat="1" applyFont="1" applyAlignment="1">
      <alignment horizontal="center" vertical="center"/>
    </xf>
    <xf numFmtId="176" fontId="74" fillId="2" borderId="0" xfId="0" applyNumberFormat="1" applyFont="1" applyFill="1" applyAlignment="1">
      <alignment vertical="center"/>
    </xf>
    <xf numFmtId="2" fontId="80" fillId="0" borderId="0" xfId="0" applyNumberFormat="1" applyFont="1" applyAlignment="1">
      <alignment horizontal="left" vertical="center"/>
    </xf>
    <xf numFmtId="176" fontId="80" fillId="0" borderId="0" xfId="0" applyNumberFormat="1" applyFont="1" applyAlignment="1">
      <alignment horizontal="center" vertical="center"/>
    </xf>
    <xf numFmtId="176" fontId="74" fillId="0" borderId="2" xfId="0" applyNumberFormat="1" applyFont="1" applyBorder="1" applyAlignment="1">
      <alignment horizontal="center" vertical="center"/>
    </xf>
    <xf numFmtId="195" fontId="41" fillId="0" borderId="0" xfId="0" applyNumberFormat="1" applyFont="1" applyAlignment="1">
      <alignment vertical="center"/>
    </xf>
    <xf numFmtId="185" fontId="11" fillId="0" borderId="0" xfId="0" applyNumberFormat="1" applyFont="1" applyAlignment="1">
      <alignment vertical="center"/>
    </xf>
    <xf numFmtId="10" fontId="47" fillId="0" borderId="0" xfId="866" applyNumberFormat="1" applyFont="1" applyAlignment="1">
      <alignment vertical="center"/>
    </xf>
    <xf numFmtId="2" fontId="11" fillId="0" borderId="1" xfId="0" applyNumberFormat="1" applyFont="1" applyBorder="1" applyAlignment="1">
      <alignment vertical="center"/>
    </xf>
    <xf numFmtId="2" fontId="24" fillId="0" borderId="0" xfId="0" applyNumberFormat="1" applyFont="1" applyAlignment="1">
      <alignment horizontal="center" vertical="center"/>
    </xf>
    <xf numFmtId="1" fontId="60" fillId="0" borderId="4" xfId="0" applyNumberFormat="1" applyFont="1" applyBorder="1" applyAlignment="1">
      <alignment vertical="center"/>
    </xf>
    <xf numFmtId="1" fontId="60" fillId="0" borderId="4" xfId="0" applyNumberFormat="1" applyFont="1" applyBorder="1" applyAlignment="1">
      <alignment horizontal="right" vertical="center"/>
    </xf>
    <xf numFmtId="176" fontId="60" fillId="0" borderId="4" xfId="0" applyNumberFormat="1" applyFont="1" applyBorder="1" applyAlignment="1">
      <alignment horizontal="right" vertical="center"/>
    </xf>
    <xf numFmtId="176" fontId="74" fillId="0" borderId="2" xfId="0" applyNumberFormat="1" applyFont="1" applyBorder="1" applyAlignment="1">
      <alignment horizontal="right" vertical="center" indent="1"/>
    </xf>
    <xf numFmtId="2" fontId="74" fillId="0" borderId="40" xfId="0" applyNumberFormat="1" applyFont="1" applyBorder="1" applyAlignment="1">
      <alignment horizontal="center" vertical="center"/>
    </xf>
    <xf numFmtId="2" fontId="74" fillId="0" borderId="2" xfId="0" applyNumberFormat="1" applyFont="1" applyBorder="1" applyAlignment="1">
      <alignment horizontal="center" vertical="center"/>
    </xf>
    <xf numFmtId="176" fontId="74" fillId="0" borderId="40" xfId="864" applyNumberFormat="1" applyFont="1" applyBorder="1" applyAlignment="1">
      <alignment horizontal="center" vertical="center"/>
    </xf>
    <xf numFmtId="176" fontId="74" fillId="0" borderId="40" xfId="0" applyNumberFormat="1" applyFont="1" applyBorder="1" applyAlignment="1">
      <alignment horizontal="center" vertical="center" wrapText="1"/>
    </xf>
    <xf numFmtId="1" fontId="74" fillId="0" borderId="0" xfId="0" quotePrefix="1" applyNumberFormat="1" applyFont="1" applyAlignment="1">
      <alignment horizontal="left" vertical="center"/>
    </xf>
    <xf numFmtId="190" fontId="74" fillId="0" borderId="0" xfId="0" applyNumberFormat="1" applyFont="1" applyAlignment="1">
      <alignment vertical="center"/>
    </xf>
    <xf numFmtId="41" fontId="11" fillId="0" borderId="0" xfId="900" applyFont="1" applyAlignment="1">
      <alignment vertical="center"/>
    </xf>
    <xf numFmtId="1" fontId="11" fillId="0" borderId="1" xfId="0" applyNumberFormat="1" applyFont="1" applyBorder="1" applyAlignment="1">
      <alignment vertical="center"/>
    </xf>
    <xf numFmtId="2" fontId="24" fillId="0" borderId="1" xfId="0" applyNumberFormat="1" applyFont="1" applyBorder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176" fontId="11" fillId="0" borderId="1" xfId="0" applyNumberFormat="1" applyFont="1" applyBorder="1" applyAlignment="1">
      <alignment horizontal="center" vertical="center"/>
    </xf>
    <xf numFmtId="1" fontId="47" fillId="0" borderId="1" xfId="0" applyNumberFormat="1" applyFont="1" applyBorder="1" applyAlignment="1">
      <alignment horizontal="center" vertical="center"/>
    </xf>
    <xf numFmtId="1" fontId="11" fillId="0" borderId="4" xfId="0" applyNumberFormat="1" applyFont="1" applyBorder="1" applyAlignment="1">
      <alignment horizontal="center" vertical="center"/>
    </xf>
    <xf numFmtId="1" fontId="74" fillId="0" borderId="1" xfId="0" applyNumberFormat="1" applyFont="1" applyBorder="1" applyAlignment="1">
      <alignment horizontal="left" vertical="center"/>
    </xf>
    <xf numFmtId="176" fontId="80" fillId="0" borderId="0" xfId="0" applyNumberFormat="1" applyFont="1" applyAlignment="1">
      <alignment horizontal="right" vertical="center"/>
    </xf>
    <xf numFmtId="0" fontId="11" fillId="0" borderId="0" xfId="177" applyFont="1" applyAlignment="1">
      <alignment horizontal="right" vertical="center"/>
    </xf>
    <xf numFmtId="0" fontId="11" fillId="0" borderId="0" xfId="177" quotePrefix="1" applyFont="1">
      <alignment vertical="center"/>
    </xf>
    <xf numFmtId="0" fontId="11" fillId="0" borderId="0" xfId="177" applyFont="1">
      <alignment vertical="center"/>
    </xf>
    <xf numFmtId="0" fontId="11" fillId="0" borderId="0" xfId="177" applyFont="1" applyAlignment="1">
      <alignment horizontal="left" vertical="center"/>
    </xf>
    <xf numFmtId="1" fontId="55" fillId="0" borderId="0" xfId="0" applyNumberFormat="1" applyFont="1" applyAlignment="1">
      <alignment horizontal="left" vertical="center"/>
    </xf>
    <xf numFmtId="1" fontId="55" fillId="0" borderId="8" xfId="0" quotePrefix="1" applyNumberFormat="1" applyFont="1" applyBorder="1" applyAlignment="1">
      <alignment horizontal="left" vertical="center"/>
    </xf>
    <xf numFmtId="185" fontId="40" fillId="4" borderId="0" xfId="866" applyNumberFormat="1" applyFont="1" applyFill="1" applyBorder="1">
      <alignment vertical="center"/>
    </xf>
    <xf numFmtId="2" fontId="24" fillId="0" borderId="19" xfId="0" applyNumberFormat="1" applyFont="1" applyBorder="1" applyAlignment="1">
      <alignment horizontal="center" vertical="center"/>
    </xf>
    <xf numFmtId="2" fontId="11" fillId="0" borderId="43" xfId="0" applyNumberFormat="1" applyFont="1" applyBorder="1" applyAlignment="1">
      <alignment horizontal="left" vertical="center"/>
    </xf>
    <xf numFmtId="49" fontId="12" fillId="0" borderId="0" xfId="212" applyNumberFormat="1" applyFont="1" applyAlignment="1">
      <alignment horizontal="left" vertical="center"/>
    </xf>
    <xf numFmtId="191" fontId="74" fillId="0" borderId="0" xfId="0" applyNumberFormat="1" applyFont="1" applyAlignment="1">
      <alignment vertical="center"/>
    </xf>
    <xf numFmtId="176" fontId="84" fillId="0" borderId="0" xfId="0" quotePrefix="1" applyNumberFormat="1" applyFont="1" applyAlignment="1">
      <alignment horizontal="left" vertical="center"/>
    </xf>
    <xf numFmtId="176" fontId="26" fillId="0" borderId="0" xfId="0" quotePrefix="1" applyNumberFormat="1" applyFont="1" applyAlignment="1">
      <alignment horizontal="left" vertical="center"/>
    </xf>
    <xf numFmtId="49" fontId="11" fillId="0" borderId="0" xfId="212" applyNumberFormat="1" applyFont="1" applyAlignment="1">
      <alignment horizontal="left" vertical="center"/>
    </xf>
    <xf numFmtId="2" fontId="11" fillId="0" borderId="1" xfId="212" applyNumberFormat="1" applyFont="1" applyBorder="1" applyAlignment="1">
      <alignment horizontal="center" vertical="center"/>
    </xf>
    <xf numFmtId="0" fontId="26" fillId="0" borderId="0" xfId="212" quotePrefix="1" applyFont="1" applyAlignment="1">
      <alignment horizontal="right" vertical="center"/>
    </xf>
    <xf numFmtId="0" fontId="26" fillId="0" borderId="0" xfId="177" applyFont="1">
      <alignment vertical="center"/>
    </xf>
    <xf numFmtId="0" fontId="11" fillId="0" borderId="0" xfId="208" applyFont="1">
      <alignment vertical="center"/>
    </xf>
    <xf numFmtId="0" fontId="100" fillId="0" borderId="0" xfId="208" applyFont="1">
      <alignment vertical="center"/>
    </xf>
    <xf numFmtId="0" fontId="11" fillId="0" borderId="44" xfId="208" applyFont="1" applyBorder="1" applyAlignment="1">
      <alignment horizontal="center" vertical="center"/>
    </xf>
    <xf numFmtId="0" fontId="30" fillId="0" borderId="0" xfId="208" applyFont="1">
      <alignment vertical="center"/>
    </xf>
    <xf numFmtId="196" fontId="30" fillId="0" borderId="1" xfId="177" applyNumberFormat="1" applyFont="1" applyBorder="1" applyAlignment="1">
      <alignment horizontal="center" vertical="center"/>
    </xf>
    <xf numFmtId="186" fontId="30" fillId="0" borderId="1" xfId="177" applyNumberFormat="1" applyFont="1" applyBorder="1" applyAlignment="1">
      <alignment horizontal="center" vertical="center"/>
    </xf>
    <xf numFmtId="0" fontId="30" fillId="0" borderId="0" xfId="0" applyFont="1" applyAlignment="1">
      <alignment vertical="center"/>
    </xf>
    <xf numFmtId="0" fontId="30" fillId="0" borderId="0" xfId="0" quotePrefix="1" applyFont="1" applyAlignment="1" applyProtection="1">
      <alignment horizontal="center" vertical="center"/>
      <protection locked="0"/>
    </xf>
    <xf numFmtId="186" fontId="30" fillId="0" borderId="0" xfId="0" applyNumberFormat="1" applyFont="1" applyAlignment="1">
      <alignment horizontal="left" vertical="center"/>
    </xf>
    <xf numFmtId="0" fontId="30" fillId="0" borderId="1" xfId="208" applyFont="1" applyBorder="1" applyAlignment="1">
      <alignment horizontal="center" vertical="center"/>
    </xf>
    <xf numFmtId="176" fontId="30" fillId="0" borderId="1" xfId="0" applyNumberFormat="1" applyFont="1" applyBorder="1" applyAlignment="1">
      <alignment horizontal="center" vertical="center"/>
    </xf>
    <xf numFmtId="0" fontId="30" fillId="0" borderId="1" xfId="0" applyFont="1" applyBorder="1" applyAlignment="1">
      <alignment horizontal="center" vertical="center"/>
    </xf>
    <xf numFmtId="0" fontId="11" fillId="0" borderId="0" xfId="177" applyFont="1" applyAlignment="1">
      <alignment horizontal="center" vertical="center"/>
    </xf>
    <xf numFmtId="0" fontId="11" fillId="0" borderId="9" xfId="177" applyFont="1" applyBorder="1" applyAlignment="1">
      <alignment horizontal="center" vertical="center"/>
    </xf>
    <xf numFmtId="0" fontId="30" fillId="0" borderId="7" xfId="177" applyFont="1" applyBorder="1" applyAlignment="1">
      <alignment horizontal="center" vertical="center"/>
    </xf>
    <xf numFmtId="186" fontId="30" fillId="0" borderId="7" xfId="177" applyNumberFormat="1" applyFont="1" applyBorder="1" applyAlignment="1">
      <alignment horizontal="center" vertical="center"/>
    </xf>
    <xf numFmtId="0" fontId="30" fillId="0" borderId="1" xfId="177" applyFont="1" applyBorder="1" applyAlignment="1">
      <alignment horizontal="center" vertical="center"/>
    </xf>
    <xf numFmtId="0" fontId="11" fillId="0" borderId="7" xfId="177" applyFont="1" applyBorder="1" applyAlignment="1">
      <alignment horizontal="center" vertical="center"/>
    </xf>
    <xf numFmtId="196" fontId="30" fillId="0" borderId="46" xfId="177" applyNumberFormat="1" applyFont="1" applyBorder="1" applyAlignment="1">
      <alignment horizontal="center" vertical="center"/>
    </xf>
    <xf numFmtId="186" fontId="30" fillId="0" borderId="47" xfId="177" applyNumberFormat="1" applyFont="1" applyBorder="1" applyAlignment="1">
      <alignment horizontal="center" vertical="center"/>
    </xf>
    <xf numFmtId="0" fontId="11" fillId="0" borderId="7" xfId="177" applyFont="1" applyBorder="1" applyAlignment="1">
      <alignment horizontal="right" vertical="center"/>
    </xf>
    <xf numFmtId="0" fontId="11" fillId="0" borderId="7" xfId="177" applyFont="1" applyBorder="1">
      <alignment vertical="center"/>
    </xf>
    <xf numFmtId="0" fontId="30" fillId="0" borderId="42" xfId="177" applyFont="1" applyBorder="1" applyAlignment="1">
      <alignment horizontal="center" vertical="center"/>
    </xf>
    <xf numFmtId="186" fontId="30" fillId="0" borderId="48" xfId="177" applyNumberFormat="1" applyFont="1" applyBorder="1" applyAlignment="1">
      <alignment horizontal="center" vertical="center"/>
    </xf>
    <xf numFmtId="176" fontId="11" fillId="0" borderId="0" xfId="177" quotePrefix="1" applyNumberFormat="1" applyFont="1" applyAlignment="1">
      <alignment horizontal="right" vertical="center"/>
    </xf>
    <xf numFmtId="0" fontId="41" fillId="0" borderId="13" xfId="177" applyFont="1" applyBorder="1">
      <alignment vertical="center"/>
    </xf>
    <xf numFmtId="0" fontId="30" fillId="0" borderId="8" xfId="208" applyFont="1" applyBorder="1" applyAlignment="1">
      <alignment horizontal="center" vertical="center"/>
    </xf>
    <xf numFmtId="0" fontId="30" fillId="0" borderId="10" xfId="177" applyFont="1" applyBorder="1">
      <alignment vertical="center"/>
    </xf>
    <xf numFmtId="0" fontId="30" fillId="0" borderId="9" xfId="177" applyFont="1" applyBorder="1" applyAlignment="1">
      <alignment horizontal="center" vertical="center"/>
    </xf>
    <xf numFmtId="0" fontId="11" fillId="0" borderId="17" xfId="177" applyFont="1" applyBorder="1">
      <alignment vertical="center"/>
    </xf>
    <xf numFmtId="2" fontId="11" fillId="0" borderId="0" xfId="177" quotePrefix="1" applyNumberFormat="1" applyFont="1" applyAlignment="1">
      <alignment horizontal="right" vertical="center"/>
    </xf>
    <xf numFmtId="176" fontId="30" fillId="0" borderId="11" xfId="177" applyNumberFormat="1" applyFont="1" applyBorder="1" applyAlignment="1">
      <alignment horizontal="center" vertical="center"/>
    </xf>
    <xf numFmtId="0" fontId="41" fillId="0" borderId="16" xfId="177" applyFont="1" applyBorder="1">
      <alignment vertical="center"/>
    </xf>
    <xf numFmtId="0" fontId="30" fillId="0" borderId="10" xfId="177" applyFont="1" applyBorder="1" applyAlignment="1">
      <alignment horizontal="left" vertical="center"/>
    </xf>
    <xf numFmtId="0" fontId="30" fillId="0" borderId="6" xfId="177" applyFont="1" applyBorder="1">
      <alignment vertical="center"/>
    </xf>
    <xf numFmtId="0" fontId="30" fillId="0" borderId="25" xfId="177" applyFont="1" applyBorder="1">
      <alignment vertical="center"/>
    </xf>
    <xf numFmtId="0" fontId="30" fillId="0" borderId="53" xfId="177" applyFont="1" applyBorder="1" applyAlignment="1">
      <alignment horizontal="center" vertical="center"/>
    </xf>
    <xf numFmtId="0" fontId="30" fillId="0" borderId="8" xfId="177" applyFont="1" applyBorder="1" applyAlignment="1">
      <alignment horizontal="left" vertical="center"/>
    </xf>
    <xf numFmtId="0" fontId="47" fillId="0" borderId="4" xfId="177" applyFont="1" applyBorder="1">
      <alignment vertical="center"/>
    </xf>
    <xf numFmtId="0" fontId="30" fillId="0" borderId="2" xfId="177" applyFont="1" applyBorder="1">
      <alignment vertical="center"/>
    </xf>
    <xf numFmtId="0" fontId="30" fillId="0" borderId="5" xfId="177" applyFont="1" applyBorder="1">
      <alignment vertical="center"/>
    </xf>
    <xf numFmtId="0" fontId="30" fillId="0" borderId="54" xfId="177" applyFont="1" applyBorder="1">
      <alignment vertical="center"/>
    </xf>
    <xf numFmtId="0" fontId="102" fillId="0" borderId="4" xfId="177" applyFont="1" applyBorder="1">
      <alignment vertical="center"/>
    </xf>
    <xf numFmtId="0" fontId="30" fillId="0" borderId="8" xfId="177" applyFont="1" applyBorder="1" applyAlignment="1">
      <alignment horizontal="center" vertical="center"/>
    </xf>
    <xf numFmtId="0" fontId="30" fillId="0" borderId="52" xfId="177" applyFont="1" applyBorder="1" applyAlignment="1">
      <alignment horizontal="center" vertical="center"/>
    </xf>
    <xf numFmtId="186" fontId="11" fillId="0" borderId="0" xfId="177" applyNumberFormat="1" applyFont="1">
      <alignment vertical="center"/>
    </xf>
    <xf numFmtId="0" fontId="30" fillId="0" borderId="0" xfId="177" applyFont="1">
      <alignment vertical="center"/>
    </xf>
    <xf numFmtId="176" fontId="104" fillId="0" borderId="0" xfId="0" applyNumberFormat="1" applyFont="1" applyAlignment="1">
      <alignment horizontal="left" vertical="center"/>
    </xf>
    <xf numFmtId="0" fontId="56" fillId="0" borderId="0" xfId="177" applyFont="1">
      <alignment vertical="center"/>
    </xf>
    <xf numFmtId="186" fontId="11" fillId="0" borderId="0" xfId="177" quotePrefix="1" applyNumberFormat="1" applyFont="1" applyAlignment="1">
      <alignment horizontal="right" vertical="center"/>
    </xf>
    <xf numFmtId="0" fontId="105" fillId="0" borderId="0" xfId="177" applyFont="1">
      <alignment vertical="center"/>
    </xf>
    <xf numFmtId="0" fontId="47" fillId="0" borderId="3" xfId="177" applyFont="1" applyBorder="1">
      <alignment vertical="center"/>
    </xf>
    <xf numFmtId="0" fontId="30" fillId="0" borderId="4" xfId="177" applyFont="1" applyBorder="1">
      <alignment vertical="center"/>
    </xf>
    <xf numFmtId="0" fontId="30" fillId="0" borderId="55" xfId="177" applyFont="1" applyBorder="1">
      <alignment vertical="center"/>
    </xf>
    <xf numFmtId="0" fontId="102" fillId="0" borderId="6" xfId="177" applyFont="1" applyBorder="1">
      <alignment vertical="center"/>
    </xf>
    <xf numFmtId="0" fontId="30" fillId="0" borderId="11" xfId="177" applyFont="1" applyBorder="1">
      <alignment vertical="center"/>
    </xf>
    <xf numFmtId="0" fontId="11" fillId="0" borderId="16" xfId="177" applyFont="1" applyBorder="1">
      <alignment vertical="center"/>
    </xf>
    <xf numFmtId="0" fontId="106" fillId="0" borderId="0" xfId="0" applyFont="1"/>
    <xf numFmtId="186" fontId="11" fillId="2" borderId="0" xfId="177" quotePrefix="1" applyNumberFormat="1" applyFont="1" applyFill="1" applyAlignment="1">
      <alignment horizontal="right" vertical="center"/>
    </xf>
    <xf numFmtId="196" fontId="102" fillId="0" borderId="1" xfId="177" applyNumberFormat="1" applyFont="1" applyBorder="1" applyAlignment="1">
      <alignment horizontal="center" vertical="center"/>
    </xf>
    <xf numFmtId="0" fontId="11" fillId="0" borderId="1" xfId="177" applyFont="1" applyBorder="1" applyAlignment="1">
      <alignment horizontal="center" vertical="center"/>
    </xf>
    <xf numFmtId="0" fontId="11" fillId="0" borderId="56" xfId="177" applyFont="1" applyBorder="1">
      <alignment vertical="center"/>
    </xf>
    <xf numFmtId="0" fontId="30" fillId="0" borderId="4" xfId="177" applyFont="1" applyBorder="1" applyAlignment="1">
      <alignment horizontal="center" vertical="center"/>
    </xf>
    <xf numFmtId="0" fontId="11" fillId="0" borderId="18" xfId="177" applyFont="1" applyBorder="1">
      <alignment vertical="center"/>
    </xf>
    <xf numFmtId="0" fontId="11" fillId="0" borderId="19" xfId="208" applyFont="1" applyBorder="1">
      <alignment vertical="center"/>
    </xf>
    <xf numFmtId="2" fontId="41" fillId="0" borderId="0" xfId="177" applyNumberFormat="1" applyFont="1">
      <alignment vertical="center"/>
    </xf>
    <xf numFmtId="2" fontId="41" fillId="0" borderId="0" xfId="208" applyNumberFormat="1" applyFont="1">
      <alignment vertical="center"/>
    </xf>
    <xf numFmtId="0" fontId="109" fillId="0" borderId="0" xfId="0" applyFont="1" applyAlignment="1">
      <alignment vertical="center" wrapText="1"/>
    </xf>
    <xf numFmtId="186" fontId="47" fillId="0" borderId="0" xfId="177" quotePrefix="1" applyNumberFormat="1" applyFont="1" applyAlignment="1">
      <alignment horizontal="right" vertical="center"/>
    </xf>
    <xf numFmtId="2" fontId="27" fillId="0" borderId="0" xfId="212" applyNumberFormat="1" applyFont="1" applyAlignment="1">
      <alignment vertical="center"/>
    </xf>
    <xf numFmtId="186" fontId="47" fillId="0" borderId="0" xfId="0" applyNumberFormat="1" applyFont="1" applyAlignment="1">
      <alignment vertical="center"/>
    </xf>
    <xf numFmtId="2" fontId="11" fillId="0" borderId="0" xfId="212" applyNumberFormat="1" applyFont="1" applyAlignment="1">
      <alignment horizontal="left" vertical="center"/>
    </xf>
    <xf numFmtId="0" fontId="84" fillId="0" borderId="0" xfId="0" applyFont="1" applyAlignment="1">
      <alignment horizontal="left" vertical="center"/>
    </xf>
    <xf numFmtId="186" fontId="11" fillId="0" borderId="0" xfId="0" applyNumberFormat="1" applyFont="1" applyAlignment="1">
      <alignment horizontal="right" vertical="center"/>
    </xf>
    <xf numFmtId="185" fontId="11" fillId="0" borderId="0" xfId="866" applyNumberFormat="1" applyFont="1" applyAlignment="1">
      <alignment horizontal="right" vertical="center"/>
    </xf>
    <xf numFmtId="185" fontId="11" fillId="0" borderId="0" xfId="866" applyNumberFormat="1" applyFont="1" applyAlignment="1">
      <alignment vertical="center"/>
    </xf>
    <xf numFmtId="0" fontId="40" fillId="0" borderId="0" xfId="0" applyFont="1" applyAlignment="1">
      <alignment horizontal="left" vertical="center"/>
    </xf>
    <xf numFmtId="0" fontId="40" fillId="0" borderId="0" xfId="0" applyFont="1" applyAlignment="1">
      <alignment horizontal="center" vertical="center"/>
    </xf>
    <xf numFmtId="0" fontId="47" fillId="0" borderId="0" xfId="0" applyFont="1" applyAlignment="1">
      <alignment horizontal="right" vertical="center"/>
    </xf>
    <xf numFmtId="2" fontId="47" fillId="0" borderId="0" xfId="0" applyNumberFormat="1" applyFont="1" applyAlignment="1">
      <alignment horizontal="center" vertical="center"/>
    </xf>
    <xf numFmtId="1" fontId="11" fillId="0" borderId="0" xfId="0" applyNumberFormat="1" applyFont="1" applyAlignment="1">
      <alignment horizontal="center" vertical="center"/>
    </xf>
    <xf numFmtId="176" fontId="84" fillId="0" borderId="0" xfId="0" applyNumberFormat="1" applyFont="1" applyAlignment="1">
      <alignment horizontal="left" vertical="center"/>
    </xf>
    <xf numFmtId="2" fontId="51" fillId="0" borderId="0" xfId="0" applyNumberFormat="1" applyFont="1" applyAlignment="1">
      <alignment horizontal="center" vertical="center"/>
    </xf>
    <xf numFmtId="2" fontId="30" fillId="0" borderId="13" xfId="0" applyNumberFormat="1" applyFont="1" applyBorder="1" applyAlignment="1">
      <alignment vertical="center"/>
    </xf>
    <xf numFmtId="2" fontId="30" fillId="0" borderId="14" xfId="0" applyNumberFormat="1" applyFont="1" applyBorder="1" applyAlignment="1">
      <alignment vertical="center"/>
    </xf>
    <xf numFmtId="0" fontId="84" fillId="0" borderId="0" xfId="0" applyFont="1" applyAlignment="1">
      <alignment vertical="center"/>
    </xf>
    <xf numFmtId="176" fontId="84" fillId="0" borderId="0" xfId="0" applyNumberFormat="1" applyFont="1" applyAlignment="1">
      <alignment vertical="center"/>
    </xf>
    <xf numFmtId="10" fontId="11" fillId="0" borderId="0" xfId="866" applyNumberFormat="1" applyFont="1" applyAlignment="1">
      <alignment vertical="center"/>
    </xf>
    <xf numFmtId="195" fontId="11" fillId="0" borderId="0" xfId="0" applyNumberFormat="1" applyFont="1" applyAlignment="1">
      <alignment vertical="center"/>
    </xf>
    <xf numFmtId="176" fontId="84" fillId="0" borderId="0" xfId="0" applyNumberFormat="1" applyFont="1" applyAlignment="1">
      <alignment horizontal="center" vertical="center"/>
    </xf>
    <xf numFmtId="2" fontId="112" fillId="0" borderId="1" xfId="0" applyNumberFormat="1" applyFont="1" applyBorder="1" applyAlignment="1">
      <alignment horizontal="left" vertical="center"/>
    </xf>
    <xf numFmtId="176" fontId="112" fillId="0" borderId="37" xfId="0" applyNumberFormat="1" applyFont="1" applyBorder="1" applyAlignment="1">
      <alignment horizontal="left" vertical="center"/>
    </xf>
    <xf numFmtId="178" fontId="112" fillId="0" borderId="0" xfId="0" applyNumberFormat="1" applyFont="1" applyAlignment="1">
      <alignment horizontal="center" vertical="center"/>
    </xf>
    <xf numFmtId="0" fontId="112" fillId="0" borderId="0" xfId="0" applyFont="1" applyAlignment="1">
      <alignment vertical="center"/>
    </xf>
    <xf numFmtId="178" fontId="112" fillId="0" borderId="0" xfId="0" applyNumberFormat="1" applyFont="1" applyAlignment="1">
      <alignment vertical="center"/>
    </xf>
    <xf numFmtId="0" fontId="112" fillId="0" borderId="0" xfId="0" applyFont="1" applyAlignment="1">
      <alignment horizontal="center" vertical="center"/>
    </xf>
    <xf numFmtId="176" fontId="112" fillId="0" borderId="0" xfId="0" applyNumberFormat="1" applyFont="1" applyAlignment="1">
      <alignment horizontal="left" vertical="center"/>
    </xf>
    <xf numFmtId="177" fontId="112" fillId="0" borderId="0" xfId="0" applyNumberFormat="1" applyFont="1" applyAlignment="1">
      <alignment horizontal="center" vertical="center"/>
    </xf>
    <xf numFmtId="191" fontId="74" fillId="0" borderId="21" xfId="0" applyNumberFormat="1" applyFont="1" applyBorder="1" applyAlignment="1">
      <alignment horizontal="center" vertical="center"/>
    </xf>
    <xf numFmtId="2" fontId="104" fillId="0" borderId="0" xfId="0" applyNumberFormat="1" applyFont="1" applyAlignment="1">
      <alignment horizontal="right" vertical="center"/>
    </xf>
    <xf numFmtId="2" fontId="84" fillId="0" borderId="0" xfId="0" applyNumberFormat="1" applyFont="1" applyAlignment="1">
      <alignment horizontal="left" vertical="center"/>
    </xf>
    <xf numFmtId="176" fontId="79" fillId="0" borderId="0" xfId="0" applyNumberFormat="1" applyFont="1" applyAlignment="1">
      <alignment horizontal="left" vertical="center"/>
    </xf>
    <xf numFmtId="0" fontId="40" fillId="0" borderId="0" xfId="863" applyFont="1"/>
    <xf numFmtId="0" fontId="43" fillId="0" borderId="0" xfId="177" applyFont="1">
      <alignment vertical="center"/>
    </xf>
    <xf numFmtId="0" fontId="43" fillId="0" borderId="0" xfId="177" applyFont="1" applyAlignment="1">
      <alignment horizontal="right" vertical="center"/>
    </xf>
    <xf numFmtId="0" fontId="41" fillId="0" borderId="0" xfId="177" applyFont="1" applyAlignment="1">
      <alignment horizontal="center" vertical="center"/>
    </xf>
    <xf numFmtId="0" fontId="41" fillId="0" borderId="0" xfId="177" applyFont="1" applyAlignment="1">
      <alignment horizontal="right" vertical="center"/>
    </xf>
    <xf numFmtId="0" fontId="11" fillId="0" borderId="0" xfId="208" applyFont="1" applyAlignment="1">
      <alignment horizontal="right" vertical="center"/>
    </xf>
    <xf numFmtId="0" fontId="41" fillId="0" borderId="0" xfId="208" applyFont="1" applyAlignment="1">
      <alignment horizontal="center" vertical="center"/>
    </xf>
    <xf numFmtId="183" fontId="11" fillId="0" borderId="0" xfId="177" applyNumberFormat="1" applyFont="1" applyAlignment="1">
      <alignment horizontal="right" vertical="center"/>
    </xf>
    <xf numFmtId="183" fontId="40" fillId="0" borderId="0" xfId="177" applyNumberFormat="1" applyFont="1" applyAlignment="1">
      <alignment horizontal="right" vertical="center"/>
    </xf>
    <xf numFmtId="0" fontId="77" fillId="5" borderId="30" xfId="177" applyFont="1" applyFill="1" applyBorder="1" applyAlignment="1">
      <alignment horizontal="center" vertical="center"/>
    </xf>
    <xf numFmtId="0" fontId="77" fillId="5" borderId="31" xfId="177" applyFont="1" applyFill="1" applyBorder="1" applyAlignment="1">
      <alignment horizontal="center" vertical="center"/>
    </xf>
    <xf numFmtId="176" fontId="41" fillId="0" borderId="1" xfId="177" applyNumberFormat="1" applyFont="1" applyBorder="1" applyAlignment="1">
      <alignment horizontal="right" vertical="center"/>
    </xf>
    <xf numFmtId="176" fontId="47" fillId="0" borderId="1" xfId="177" applyNumberFormat="1" applyFont="1" applyBorder="1">
      <alignment vertical="center"/>
    </xf>
    <xf numFmtId="176" fontId="41" fillId="0" borderId="1" xfId="177" applyNumberFormat="1" applyFont="1" applyBorder="1">
      <alignment vertical="center"/>
    </xf>
    <xf numFmtId="2" fontId="44" fillId="0" borderId="1" xfId="177" applyNumberFormat="1" applyFont="1" applyBorder="1" applyAlignment="1">
      <alignment horizontal="center" vertical="center"/>
    </xf>
    <xf numFmtId="2" fontId="41" fillId="5" borderId="4" xfId="177" applyNumberFormat="1" applyFont="1" applyFill="1" applyBorder="1" applyAlignment="1">
      <alignment horizontal="center" vertical="center"/>
    </xf>
    <xf numFmtId="2" fontId="41" fillId="5" borderId="1" xfId="177" applyNumberFormat="1" applyFont="1" applyFill="1" applyBorder="1" applyAlignment="1">
      <alignment horizontal="center" vertical="center"/>
    </xf>
    <xf numFmtId="2" fontId="44" fillId="0" borderId="4" xfId="177" applyNumberFormat="1" applyFont="1" applyBorder="1" applyAlignment="1">
      <alignment horizontal="center" vertical="center"/>
    </xf>
    <xf numFmtId="0" fontId="24" fillId="0" borderId="0" xfId="863" applyFont="1" applyAlignment="1">
      <alignment horizontal="left" vertical="center"/>
    </xf>
    <xf numFmtId="0" fontId="46" fillId="0" borderId="0" xfId="208" quotePrefix="1" applyFont="1" applyAlignment="1">
      <alignment horizontal="center" vertical="center"/>
    </xf>
    <xf numFmtId="0" fontId="46" fillId="0" borderId="0" xfId="208" applyFont="1">
      <alignment vertical="center"/>
    </xf>
    <xf numFmtId="0" fontId="41" fillId="0" borderId="0" xfId="177" applyFont="1" applyAlignment="1">
      <alignment horizontal="right"/>
    </xf>
    <xf numFmtId="0" fontId="41" fillId="0" borderId="0" xfId="177" applyFont="1" applyAlignment="1">
      <alignment horizontal="right" vertical="top"/>
    </xf>
    <xf numFmtId="179" fontId="41" fillId="0" borderId="0" xfId="177" applyNumberFormat="1" applyFont="1" applyAlignment="1">
      <alignment horizontal="right" vertical="top"/>
    </xf>
    <xf numFmtId="0" fontId="45" fillId="0" borderId="0" xfId="177" applyFont="1">
      <alignment vertical="center"/>
    </xf>
    <xf numFmtId="0" fontId="61" fillId="0" borderId="0" xfId="863" applyFont="1" applyAlignment="1">
      <alignment horizontal="center" vertical="center"/>
    </xf>
    <xf numFmtId="0" fontId="61" fillId="0" borderId="0" xfId="863" applyFont="1" applyAlignment="1">
      <alignment horizontal="left" vertical="center"/>
    </xf>
    <xf numFmtId="0" fontId="61" fillId="0" borderId="0" xfId="863" applyFont="1" applyAlignment="1">
      <alignment horizontal="right" vertical="center"/>
    </xf>
    <xf numFmtId="188" fontId="24" fillId="0" borderId="0" xfId="863" applyNumberFormat="1" applyFont="1" applyAlignment="1">
      <alignment horizontal="center" vertical="center"/>
    </xf>
    <xf numFmtId="0" fontId="41" fillId="0" borderId="0" xfId="557" applyFont="1" applyAlignment="1">
      <alignment horizontal="right" vertical="center"/>
    </xf>
    <xf numFmtId="186" fontId="11" fillId="0" borderId="0" xfId="863" applyNumberFormat="1" applyFont="1" applyAlignment="1">
      <alignment vertical="center"/>
    </xf>
    <xf numFmtId="0" fontId="40" fillId="0" borderId="0" xfId="863" applyFont="1" applyAlignment="1">
      <alignment horizontal="center" vertical="center"/>
    </xf>
    <xf numFmtId="0" fontId="46" fillId="0" borderId="0" xfId="177" applyFont="1" applyAlignment="1">
      <alignment horizontal="left" vertical="center"/>
    </xf>
    <xf numFmtId="0" fontId="46" fillId="0" borderId="0" xfId="208" applyFont="1" applyAlignment="1">
      <alignment horizontal="right" vertical="center"/>
    </xf>
    <xf numFmtId="0" fontId="46" fillId="0" borderId="0" xfId="208" applyFont="1" applyAlignment="1"/>
    <xf numFmtId="0" fontId="24" fillId="0" borderId="0" xfId="863" applyFont="1" applyAlignment="1">
      <alignment horizontal="right" vertical="center"/>
    </xf>
    <xf numFmtId="176" fontId="11" fillId="0" borderId="0" xfId="863" applyNumberFormat="1" applyFont="1" applyAlignment="1">
      <alignment horizontal="right" vertical="center"/>
    </xf>
    <xf numFmtId="2" fontId="11" fillId="0" borderId="0" xfId="208" applyNumberFormat="1" applyFont="1">
      <alignment vertical="center"/>
    </xf>
    <xf numFmtId="178" fontId="47" fillId="3" borderId="0" xfId="208" applyNumberFormat="1" applyFont="1" applyFill="1" applyAlignment="1">
      <alignment horizontal="right" vertical="center"/>
    </xf>
    <xf numFmtId="2" fontId="41" fillId="0" borderId="0" xfId="557" applyNumberFormat="1" applyFont="1" applyAlignment="1">
      <alignment horizontal="right" vertical="center"/>
    </xf>
    <xf numFmtId="0" fontId="41" fillId="0" borderId="0" xfId="208" applyFont="1" applyAlignment="1">
      <alignment horizontal="right" vertical="center"/>
    </xf>
    <xf numFmtId="188" fontId="53" fillId="0" borderId="0" xfId="863" applyNumberFormat="1" applyFont="1" applyAlignment="1">
      <alignment horizontal="center" vertical="center"/>
    </xf>
    <xf numFmtId="2" fontId="11" fillId="0" borderId="0" xfId="863" applyNumberFormat="1" applyFont="1" applyAlignment="1">
      <alignment horizontal="center" vertical="center"/>
    </xf>
    <xf numFmtId="0" fontId="46" fillId="0" borderId="0" xfId="208" applyFont="1" applyAlignment="1">
      <alignment horizontal="left" vertical="center"/>
    </xf>
    <xf numFmtId="2" fontId="11" fillId="0" borderId="0" xfId="863" applyNumberFormat="1" applyFont="1" applyAlignment="1">
      <alignment horizontal="right" vertical="center"/>
    </xf>
    <xf numFmtId="0" fontId="65" fillId="0" borderId="0" xfId="863" applyFont="1" applyAlignment="1">
      <alignment horizontal="right" vertical="center"/>
    </xf>
    <xf numFmtId="0" fontId="71" fillId="0" borderId="0" xfId="863" applyFont="1" applyAlignment="1">
      <alignment horizontal="right" vertical="center"/>
    </xf>
    <xf numFmtId="0" fontId="41" fillId="0" borderId="0" xfId="208" quotePrefix="1" applyFont="1" applyAlignment="1">
      <alignment horizontal="center" vertical="center"/>
    </xf>
    <xf numFmtId="0" fontId="15" fillId="0" borderId="0" xfId="208" applyFont="1" applyAlignment="1">
      <alignment horizontal="left" vertical="center"/>
    </xf>
    <xf numFmtId="0" fontId="41" fillId="0" borderId="0" xfId="208" applyFont="1" applyAlignment="1">
      <alignment horizontal="left" vertical="center"/>
    </xf>
    <xf numFmtId="176" fontId="11" fillId="0" borderId="0" xfId="208" applyNumberFormat="1" applyFont="1">
      <alignment vertical="center"/>
    </xf>
    <xf numFmtId="0" fontId="43" fillId="0" borderId="0" xfId="208" applyFont="1">
      <alignment vertical="center"/>
    </xf>
    <xf numFmtId="186" fontId="41" fillId="0" borderId="0" xfId="208" applyNumberFormat="1" applyFont="1">
      <alignment vertical="center"/>
    </xf>
    <xf numFmtId="176" fontId="49" fillId="0" borderId="0" xfId="863" applyNumberFormat="1" applyFont="1" applyAlignment="1">
      <alignment horizontal="right" vertical="center"/>
    </xf>
    <xf numFmtId="0" fontId="11" fillId="0" borderId="0" xfId="863" applyFont="1" applyAlignment="1">
      <alignment horizontal="left" vertical="center"/>
    </xf>
    <xf numFmtId="0" fontId="40" fillId="0" borderId="0" xfId="863" applyFont="1" applyAlignment="1">
      <alignment vertical="center"/>
    </xf>
    <xf numFmtId="0" fontId="73" fillId="0" borderId="0" xfId="865" applyFont="1" applyAlignment="1">
      <alignment vertical="center"/>
    </xf>
    <xf numFmtId="2" fontId="47" fillId="0" borderId="1" xfId="863" applyNumberFormat="1" applyFont="1" applyBorder="1" applyAlignment="1">
      <alignment horizontal="right" vertical="center"/>
    </xf>
    <xf numFmtId="2" fontId="11" fillId="0" borderId="0" xfId="863" applyNumberFormat="1" applyFont="1" applyAlignment="1">
      <alignment vertical="center"/>
    </xf>
    <xf numFmtId="0" fontId="50" fillId="0" borderId="0" xfId="865" applyFont="1" applyAlignment="1">
      <alignment vertical="center"/>
    </xf>
    <xf numFmtId="0" fontId="41" fillId="0" borderId="0" xfId="208" quotePrefix="1" applyFont="1">
      <alignment vertical="center"/>
    </xf>
    <xf numFmtId="179" fontId="41" fillId="0" borderId="0" xfId="208" applyNumberFormat="1" applyFont="1" applyAlignment="1">
      <alignment horizontal="right" vertical="center"/>
    </xf>
    <xf numFmtId="2" fontId="41" fillId="5" borderId="9" xfId="177" applyNumberFormat="1" applyFont="1" applyFill="1" applyBorder="1" applyAlignment="1">
      <alignment horizontal="center" vertical="center"/>
    </xf>
    <xf numFmtId="2" fontId="44" fillId="0" borderId="6" xfId="177" applyNumberFormat="1" applyFont="1" applyBorder="1" applyAlignment="1">
      <alignment horizontal="center" vertical="center"/>
    </xf>
    <xf numFmtId="176" fontId="47" fillId="0" borderId="1" xfId="177" applyNumberFormat="1" applyFont="1" applyBorder="1" applyAlignment="1">
      <alignment horizontal="right" vertical="center"/>
    </xf>
    <xf numFmtId="0" fontId="47" fillId="0" borderId="0" xfId="177" applyFont="1">
      <alignment vertical="center"/>
    </xf>
    <xf numFmtId="2" fontId="41" fillId="0" borderId="0" xfId="177" applyNumberFormat="1" applyFont="1" applyAlignment="1">
      <alignment horizontal="right" vertical="center"/>
    </xf>
    <xf numFmtId="176" fontId="47" fillId="0" borderId="0" xfId="177" applyNumberFormat="1" applyFont="1">
      <alignment vertical="center"/>
    </xf>
    <xf numFmtId="0" fontId="65" fillId="0" borderId="0" xfId="863" applyFont="1" applyAlignment="1">
      <alignment horizontal="left" vertical="center"/>
    </xf>
    <xf numFmtId="0" fontId="44" fillId="0" borderId="0" xfId="177" applyFont="1">
      <alignment vertical="center"/>
    </xf>
    <xf numFmtId="186" fontId="59" fillId="0" borderId="1" xfId="208" applyNumberFormat="1" applyFont="1" applyBorder="1" applyAlignment="1">
      <alignment horizontal="right" vertical="center"/>
    </xf>
    <xf numFmtId="0" fontId="24" fillId="0" borderId="0" xfId="865" applyFont="1" applyAlignment="1">
      <alignment horizontal="left" vertical="center"/>
    </xf>
    <xf numFmtId="2" fontId="44" fillId="0" borderId="0" xfId="177" quotePrefix="1" applyNumberFormat="1" applyFont="1" applyAlignment="1">
      <alignment horizontal="right" vertical="center"/>
    </xf>
    <xf numFmtId="2" fontId="44" fillId="0" borderId="0" xfId="177" applyNumberFormat="1" applyFont="1">
      <alignment vertical="center"/>
    </xf>
    <xf numFmtId="184" fontId="11" fillId="0" borderId="0" xfId="212" applyNumberFormat="1" applyFont="1" applyAlignment="1">
      <alignment vertical="center"/>
    </xf>
    <xf numFmtId="0" fontId="42" fillId="0" borderId="0" xfId="208" applyFont="1">
      <alignment vertical="center"/>
    </xf>
    <xf numFmtId="0" fontId="41" fillId="0" borderId="0" xfId="177" quotePrefix="1" applyFont="1">
      <alignment vertical="center"/>
    </xf>
    <xf numFmtId="2" fontId="41" fillId="0" borderId="1" xfId="177" applyNumberFormat="1" applyFont="1" applyBorder="1" applyAlignment="1">
      <alignment horizontal="right" vertical="center"/>
    </xf>
    <xf numFmtId="186" fontId="11" fillId="0" borderId="0" xfId="177" applyNumberFormat="1" applyFont="1" applyAlignment="1">
      <alignment horizontal="right" vertical="center"/>
    </xf>
    <xf numFmtId="3" fontId="41" fillId="0" borderId="0" xfId="177" applyNumberFormat="1" applyFont="1">
      <alignment vertical="center"/>
    </xf>
    <xf numFmtId="0" fontId="40" fillId="0" borderId="0" xfId="177" applyFont="1" applyAlignment="1" applyProtection="1">
      <alignment horizontal="right" vertical="center"/>
      <protection locked="0"/>
    </xf>
    <xf numFmtId="176" fontId="40" fillId="0" borderId="0" xfId="208" applyNumberFormat="1" applyFont="1" applyProtection="1">
      <alignment vertical="center"/>
      <protection locked="0"/>
    </xf>
    <xf numFmtId="176" fontId="40" fillId="0" borderId="0" xfId="177" quotePrefix="1" applyNumberFormat="1" applyFont="1" applyAlignment="1" applyProtection="1">
      <alignment horizontal="right" vertical="center"/>
      <protection locked="0"/>
    </xf>
    <xf numFmtId="3" fontId="40" fillId="0" borderId="0" xfId="177" applyNumberFormat="1" applyFont="1" applyAlignment="1" applyProtection="1">
      <alignment horizontal="right" vertical="center"/>
      <protection locked="0"/>
    </xf>
    <xf numFmtId="1" fontId="40" fillId="4" borderId="0" xfId="0" applyNumberFormat="1" applyFont="1" applyFill="1" applyAlignment="1" applyProtection="1">
      <alignment horizontal="center" vertical="center"/>
      <protection locked="0"/>
    </xf>
    <xf numFmtId="3" fontId="40" fillId="0" borderId="0" xfId="0" applyNumberFormat="1" applyFont="1" applyAlignment="1" applyProtection="1">
      <alignment vertical="center"/>
      <protection locked="0"/>
    </xf>
    <xf numFmtId="187" fontId="53" fillId="0" borderId="0" xfId="0" applyNumberFormat="1" applyFont="1" applyAlignment="1" applyProtection="1">
      <alignment horizontal="left" vertical="center"/>
      <protection locked="0"/>
    </xf>
    <xf numFmtId="0" fontId="40" fillId="0" borderId="1" xfId="0" applyFont="1" applyBorder="1" applyAlignment="1" applyProtection="1">
      <alignment horizontal="left" vertical="center"/>
      <protection locked="0"/>
    </xf>
    <xf numFmtId="0" fontId="40" fillId="0" borderId="1" xfId="0" applyFont="1" applyBorder="1" applyAlignment="1" applyProtection="1">
      <alignment horizontal="center" vertical="center"/>
      <protection locked="0"/>
    </xf>
    <xf numFmtId="176" fontId="40" fillId="0" borderId="14" xfId="0" applyNumberFormat="1" applyFont="1" applyBorder="1" applyAlignment="1" applyProtection="1">
      <alignment vertical="center"/>
      <protection locked="0"/>
    </xf>
    <xf numFmtId="176" fontId="40" fillId="0" borderId="0" xfId="0" applyNumberFormat="1" applyFont="1" applyAlignment="1" applyProtection="1">
      <alignment vertical="center"/>
      <protection locked="0"/>
    </xf>
    <xf numFmtId="2" fontId="11" fillId="0" borderId="0" xfId="0" applyNumberFormat="1" applyFont="1" applyAlignment="1" applyProtection="1">
      <alignment vertical="center"/>
      <protection locked="0"/>
    </xf>
    <xf numFmtId="176" fontId="40" fillId="0" borderId="0" xfId="0" applyNumberFormat="1" applyFont="1" applyAlignment="1" applyProtection="1">
      <alignment horizontal="right" vertical="center"/>
      <protection locked="0"/>
    </xf>
    <xf numFmtId="176" fontId="40" fillId="0" borderId="27" xfId="0" applyNumberFormat="1" applyFont="1" applyBorder="1" applyAlignment="1" applyProtection="1">
      <alignment horizontal="right" vertical="center"/>
      <protection locked="0"/>
    </xf>
    <xf numFmtId="185" fontId="47" fillId="4" borderId="19" xfId="866" applyNumberFormat="1" applyFont="1" applyFill="1" applyBorder="1">
      <alignment vertical="center"/>
    </xf>
    <xf numFmtId="183" fontId="40" fillId="0" borderId="0" xfId="0" applyNumberFormat="1" applyFont="1" applyAlignment="1" applyProtection="1">
      <alignment vertical="center"/>
      <protection locked="0"/>
    </xf>
    <xf numFmtId="178" fontId="74" fillId="0" borderId="4" xfId="0" applyNumberFormat="1" applyFont="1" applyBorder="1" applyAlignment="1">
      <alignment horizontal="center" vertical="center"/>
    </xf>
    <xf numFmtId="187" fontId="79" fillId="0" borderId="0" xfId="0" applyNumberFormat="1" applyFont="1" applyAlignment="1" applyProtection="1">
      <alignment horizontal="left" vertical="center"/>
      <protection locked="0"/>
    </xf>
    <xf numFmtId="1" fontId="79" fillId="0" borderId="0" xfId="0" applyNumberFormat="1" applyFont="1" applyAlignment="1" applyProtection="1">
      <alignment horizontal="right" vertical="center"/>
      <protection locked="0"/>
    </xf>
    <xf numFmtId="192" fontId="79" fillId="0" borderId="0" xfId="0" applyNumberFormat="1" applyFont="1" applyAlignment="1" applyProtection="1">
      <alignment horizontal="right" vertical="center"/>
      <protection locked="0"/>
    </xf>
    <xf numFmtId="1" fontId="79" fillId="0" borderId="0" xfId="0" applyNumberFormat="1" applyFont="1" applyAlignment="1" applyProtection="1">
      <alignment horizontal="right" vertical="center" wrapText="1"/>
      <protection locked="0"/>
    </xf>
    <xf numFmtId="176" fontId="79" fillId="0" borderId="2" xfId="0" applyNumberFormat="1" applyFont="1" applyBorder="1" applyAlignment="1" applyProtection="1">
      <alignment horizontal="center" vertical="center"/>
      <protection locked="0"/>
    </xf>
    <xf numFmtId="1" fontId="40" fillId="0" borderId="1" xfId="0" applyNumberFormat="1" applyFont="1" applyBorder="1" applyAlignment="1" applyProtection="1">
      <alignment horizontal="center" vertical="center"/>
      <protection locked="0"/>
    </xf>
    <xf numFmtId="2" fontId="60" fillId="0" borderId="39" xfId="0" applyNumberFormat="1" applyFont="1" applyBorder="1" applyAlignment="1">
      <alignment horizontal="right" vertical="center" indent="1"/>
    </xf>
    <xf numFmtId="191" fontId="74" fillId="0" borderId="0" xfId="0" applyNumberFormat="1" applyFont="1" applyAlignment="1">
      <alignment horizontal="center" vertical="center"/>
    </xf>
    <xf numFmtId="176" fontId="40" fillId="2" borderId="0" xfId="177" applyNumberFormat="1" applyFont="1" applyFill="1" applyAlignment="1" applyProtection="1">
      <alignment horizontal="right" vertical="center"/>
      <protection locked="0"/>
    </xf>
    <xf numFmtId="0" fontId="40" fillId="0" borderId="45" xfId="208" applyFont="1" applyBorder="1" applyAlignment="1" applyProtection="1">
      <alignment horizontal="center" vertical="center"/>
      <protection locked="0"/>
    </xf>
    <xf numFmtId="2" fontId="41" fillId="0" borderId="9" xfId="177" applyNumberFormat="1" applyFont="1" applyBorder="1" applyAlignment="1">
      <alignment horizontal="center" vertical="center"/>
    </xf>
    <xf numFmtId="2" fontId="41" fillId="0" borderId="1" xfId="177" applyNumberFormat="1" applyFont="1" applyBorder="1" applyAlignment="1">
      <alignment horizontal="center" vertical="center"/>
    </xf>
    <xf numFmtId="0" fontId="78" fillId="0" borderId="0" xfId="208" applyFont="1">
      <alignment vertical="center"/>
    </xf>
    <xf numFmtId="186" fontId="11" fillId="0" borderId="0" xfId="863" applyNumberFormat="1" applyFont="1" applyAlignment="1">
      <alignment horizontal="right" vertical="center"/>
    </xf>
    <xf numFmtId="0" fontId="26" fillId="0" borderId="0" xfId="177" applyFont="1" applyAlignment="1">
      <alignment horizontal="right" vertical="center"/>
    </xf>
    <xf numFmtId="0" fontId="40" fillId="0" borderId="0" xfId="208" applyFont="1" applyAlignment="1" applyProtection="1">
      <alignment horizontal="right" vertical="center"/>
      <protection locked="0"/>
    </xf>
    <xf numFmtId="0" fontId="120" fillId="0" borderId="0" xfId="177" applyFont="1">
      <alignment vertical="center"/>
    </xf>
    <xf numFmtId="0" fontId="104" fillId="0" borderId="0" xfId="863" applyFont="1" applyAlignment="1">
      <alignment horizontal="left" vertical="center"/>
    </xf>
    <xf numFmtId="0" fontId="104" fillId="0" borderId="0" xfId="208" applyFont="1">
      <alignment vertical="center"/>
    </xf>
    <xf numFmtId="0" fontId="41" fillId="0" borderId="0" xfId="177" applyFont="1" applyProtection="1">
      <alignment vertical="center"/>
      <protection hidden="1"/>
    </xf>
    <xf numFmtId="0" fontId="41" fillId="0" borderId="0" xfId="208" applyFont="1" applyProtection="1">
      <alignment vertical="center"/>
      <protection hidden="1"/>
    </xf>
    <xf numFmtId="0" fontId="61" fillId="0" borderId="0" xfId="863" applyFont="1" applyAlignment="1" applyProtection="1">
      <alignment horizontal="center" vertical="center"/>
      <protection hidden="1"/>
    </xf>
    <xf numFmtId="0" fontId="61" fillId="0" borderId="0" xfId="863" applyFont="1" applyAlignment="1" applyProtection="1">
      <alignment horizontal="left" vertical="center"/>
      <protection hidden="1"/>
    </xf>
    <xf numFmtId="0" fontId="11" fillId="0" borderId="0" xfId="863" applyFont="1" applyAlignment="1" applyProtection="1">
      <alignment horizontal="right" vertical="center"/>
      <protection hidden="1"/>
    </xf>
    <xf numFmtId="0" fontId="11" fillId="0" borderId="0" xfId="863" applyFont="1" applyAlignment="1" applyProtection="1">
      <alignment horizontal="center" vertical="center"/>
      <protection hidden="1"/>
    </xf>
    <xf numFmtId="0" fontId="61" fillId="0" borderId="0" xfId="863" applyFont="1" applyAlignment="1" applyProtection="1">
      <alignment horizontal="right" vertical="center"/>
      <protection hidden="1"/>
    </xf>
    <xf numFmtId="0" fontId="24" fillId="0" borderId="0" xfId="863" applyFont="1" applyAlignment="1" applyProtection="1">
      <alignment horizontal="center" vertical="center"/>
      <protection hidden="1"/>
    </xf>
    <xf numFmtId="188" fontId="24" fillId="0" borderId="0" xfId="863" applyNumberFormat="1" applyFont="1" applyAlignment="1" applyProtection="1">
      <alignment horizontal="center" vertical="center"/>
      <protection hidden="1"/>
    </xf>
    <xf numFmtId="0" fontId="41" fillId="0" borderId="0" xfId="557" applyFont="1" applyAlignment="1" applyProtection="1">
      <alignment horizontal="right" vertical="center"/>
      <protection hidden="1"/>
    </xf>
    <xf numFmtId="186" fontId="11" fillId="0" borderId="0" xfId="863" applyNumberFormat="1" applyFont="1" applyAlignment="1" applyProtection="1">
      <alignment vertical="center"/>
      <protection hidden="1"/>
    </xf>
    <xf numFmtId="0" fontId="40" fillId="0" borderId="0" xfId="863" applyFont="1" applyAlignment="1" applyProtection="1">
      <alignment horizontal="center" vertical="center"/>
      <protection hidden="1"/>
    </xf>
    <xf numFmtId="178" fontId="47" fillId="3" borderId="0" xfId="208" applyNumberFormat="1" applyFont="1" applyFill="1" applyAlignment="1" applyProtection="1">
      <alignment horizontal="right" vertical="center"/>
      <protection hidden="1"/>
    </xf>
    <xf numFmtId="2" fontId="41" fillId="0" borderId="0" xfId="557" applyNumberFormat="1" applyFont="1" applyAlignment="1" applyProtection="1">
      <alignment horizontal="right" vertical="center"/>
      <protection hidden="1"/>
    </xf>
    <xf numFmtId="188" fontId="53" fillId="0" borderId="0" xfId="863" applyNumberFormat="1" applyFont="1" applyAlignment="1" applyProtection="1">
      <alignment horizontal="center" vertical="center"/>
      <protection hidden="1"/>
    </xf>
    <xf numFmtId="2" fontId="11" fillId="0" borderId="0" xfId="863" applyNumberFormat="1" applyFont="1" applyAlignment="1" applyProtection="1">
      <alignment horizontal="center" vertical="center"/>
      <protection hidden="1"/>
    </xf>
    <xf numFmtId="186" fontId="40" fillId="0" borderId="0" xfId="863" applyNumberFormat="1" applyFont="1" applyAlignment="1" applyProtection="1">
      <alignment vertical="center"/>
      <protection hidden="1"/>
    </xf>
    <xf numFmtId="0" fontId="11" fillId="0" borderId="0" xfId="863" applyFont="1" applyAlignment="1" applyProtection="1">
      <alignment vertical="center"/>
      <protection hidden="1"/>
    </xf>
    <xf numFmtId="0" fontId="41" fillId="0" borderId="0" xfId="208" applyFont="1" applyAlignment="1" applyProtection="1">
      <alignment horizontal="center" vertical="center"/>
      <protection hidden="1"/>
    </xf>
    <xf numFmtId="0" fontId="65" fillId="0" borderId="0" xfId="863" applyFont="1" applyAlignment="1" applyProtection="1">
      <alignment horizontal="right" vertical="center"/>
      <protection hidden="1"/>
    </xf>
    <xf numFmtId="0" fontId="71" fillId="0" borderId="0" xfId="863" applyFont="1" applyAlignment="1" applyProtection="1">
      <alignment horizontal="right" vertical="center"/>
      <protection hidden="1"/>
    </xf>
    <xf numFmtId="0" fontId="43" fillId="0" borderId="0" xfId="177" applyFont="1" applyProtection="1">
      <alignment vertical="center"/>
      <protection hidden="1"/>
    </xf>
    <xf numFmtId="0" fontId="26" fillId="0" borderId="0" xfId="208" applyFont="1">
      <alignment vertical="center"/>
    </xf>
    <xf numFmtId="186" fontId="11" fillId="0" borderId="0" xfId="208" applyNumberFormat="1" applyFont="1">
      <alignment vertical="center"/>
    </xf>
    <xf numFmtId="0" fontId="41" fillId="0" borderId="0" xfId="208" applyFont="1" applyAlignment="1" applyProtection="1">
      <alignment horizontal="right" vertical="center"/>
      <protection hidden="1"/>
    </xf>
    <xf numFmtId="176" fontId="49" fillId="0" borderId="0" xfId="863" applyNumberFormat="1" applyFont="1" applyAlignment="1" applyProtection="1">
      <alignment horizontal="right" vertical="center"/>
      <protection hidden="1"/>
    </xf>
    <xf numFmtId="0" fontId="11" fillId="0" borderId="0" xfId="863" applyFont="1" applyAlignment="1" applyProtection="1">
      <alignment horizontal="left" vertical="center"/>
      <protection hidden="1"/>
    </xf>
    <xf numFmtId="0" fontId="40" fillId="0" borderId="0" xfId="863" applyFont="1" applyAlignment="1" applyProtection="1">
      <alignment vertical="center"/>
      <protection hidden="1"/>
    </xf>
    <xf numFmtId="2" fontId="11" fillId="0" borderId="0" xfId="863" applyNumberFormat="1" applyFont="1" applyAlignment="1" applyProtection="1">
      <alignment horizontal="right" vertical="center"/>
      <protection hidden="1"/>
    </xf>
    <xf numFmtId="0" fontId="73" fillId="0" borderId="0" xfId="865" applyFont="1" applyAlignment="1" applyProtection="1">
      <alignment vertical="center"/>
      <protection hidden="1"/>
    </xf>
    <xf numFmtId="0" fontId="24" fillId="0" borderId="0" xfId="863" applyFont="1" applyAlignment="1" applyProtection="1">
      <alignment horizontal="right" vertical="center"/>
      <protection hidden="1"/>
    </xf>
    <xf numFmtId="2" fontId="47" fillId="0" borderId="1" xfId="863" applyNumberFormat="1" applyFont="1" applyBorder="1" applyAlignment="1" applyProtection="1">
      <alignment horizontal="right" vertical="center"/>
      <protection hidden="1"/>
    </xf>
    <xf numFmtId="0" fontId="43" fillId="0" borderId="0" xfId="208" applyFont="1" applyProtection="1">
      <alignment vertical="center"/>
      <protection hidden="1"/>
    </xf>
    <xf numFmtId="2" fontId="11" fillId="0" borderId="0" xfId="863" applyNumberFormat="1" applyFont="1" applyAlignment="1" applyProtection="1">
      <alignment vertical="center"/>
      <protection hidden="1"/>
    </xf>
    <xf numFmtId="0" fontId="50" fillId="0" borderId="0" xfId="865" applyFont="1" applyAlignment="1" applyProtection="1">
      <alignment vertical="center"/>
      <protection hidden="1"/>
    </xf>
    <xf numFmtId="0" fontId="11" fillId="0" borderId="0" xfId="208" quotePrefix="1" applyFont="1">
      <alignment vertical="center"/>
    </xf>
    <xf numFmtId="0" fontId="11" fillId="0" borderId="0" xfId="863" applyFont="1" applyProtection="1">
      <protection hidden="1"/>
    </xf>
    <xf numFmtId="179" fontId="11" fillId="0" borderId="0" xfId="208" applyNumberFormat="1" applyFont="1" applyAlignment="1">
      <alignment horizontal="right" vertical="center"/>
    </xf>
    <xf numFmtId="176" fontId="11" fillId="0" borderId="0" xfId="177" applyNumberFormat="1" applyFont="1" applyAlignment="1">
      <alignment horizontal="right" vertical="center"/>
    </xf>
    <xf numFmtId="0" fontId="11" fillId="5" borderId="7" xfId="177" applyFont="1" applyFill="1" applyBorder="1" applyAlignment="1">
      <alignment horizontal="center" vertical="center"/>
    </xf>
    <xf numFmtId="0" fontId="121" fillId="5" borderId="30" xfId="177" applyFont="1" applyFill="1" applyBorder="1" applyAlignment="1">
      <alignment horizontal="center" vertical="center"/>
    </xf>
    <xf numFmtId="0" fontId="121" fillId="5" borderId="31" xfId="177" applyFont="1" applyFill="1" applyBorder="1" applyAlignment="1">
      <alignment horizontal="center" vertical="center"/>
    </xf>
    <xf numFmtId="0" fontId="11" fillId="0" borderId="35" xfId="177" applyFont="1" applyBorder="1" applyAlignment="1">
      <alignment horizontal="center" vertical="center"/>
    </xf>
    <xf numFmtId="2" fontId="11" fillId="5" borderId="35" xfId="177" applyNumberFormat="1" applyFont="1" applyFill="1" applyBorder="1" applyAlignment="1">
      <alignment horizontal="center" vertical="center"/>
    </xf>
    <xf numFmtId="2" fontId="30" fillId="0" borderId="36" xfId="177" applyNumberFormat="1" applyFont="1" applyBorder="1" applyAlignment="1">
      <alignment horizontal="center" vertical="center"/>
    </xf>
    <xf numFmtId="2" fontId="30" fillId="0" borderId="1" xfId="177" applyNumberFormat="1" applyFont="1" applyBorder="1" applyAlignment="1">
      <alignment horizontal="center" vertical="center"/>
    </xf>
    <xf numFmtId="2" fontId="11" fillId="5" borderId="4" xfId="177" applyNumberFormat="1" applyFont="1" applyFill="1" applyBorder="1" applyAlignment="1">
      <alignment horizontal="center" vertical="center"/>
    </xf>
    <xf numFmtId="2" fontId="11" fillId="5" borderId="1" xfId="177" applyNumberFormat="1" applyFont="1" applyFill="1" applyBorder="1" applyAlignment="1">
      <alignment horizontal="center" vertical="center"/>
    </xf>
    <xf numFmtId="2" fontId="30" fillId="0" borderId="4" xfId="177" applyNumberFormat="1" applyFont="1" applyBorder="1" applyAlignment="1">
      <alignment horizontal="center" vertical="center"/>
    </xf>
    <xf numFmtId="0" fontId="104" fillId="0" borderId="0" xfId="208" quotePrefix="1" applyFont="1" applyAlignment="1">
      <alignment horizontal="center" vertical="center"/>
    </xf>
    <xf numFmtId="0" fontId="11" fillId="0" borderId="0" xfId="177" applyFont="1" applyAlignment="1">
      <alignment horizontal="right"/>
    </xf>
    <xf numFmtId="0" fontId="11" fillId="0" borderId="0" xfId="177" applyFont="1" applyAlignment="1">
      <alignment horizontal="right" vertical="top"/>
    </xf>
    <xf numFmtId="179" fontId="11" fillId="0" borderId="0" xfId="177" applyNumberFormat="1" applyFont="1" applyAlignment="1">
      <alignment horizontal="right" vertical="top"/>
    </xf>
    <xf numFmtId="0" fontId="74" fillId="0" borderId="0" xfId="177" applyFont="1">
      <alignment vertical="center"/>
    </xf>
    <xf numFmtId="0" fontId="122" fillId="0" borderId="0" xfId="177" applyFont="1" applyAlignment="1">
      <alignment vertical="top"/>
    </xf>
    <xf numFmtId="0" fontId="104" fillId="0" borderId="0" xfId="177" applyFont="1" applyAlignment="1">
      <alignment horizontal="left" vertical="center"/>
    </xf>
    <xf numFmtId="0" fontId="104" fillId="0" borderId="0" xfId="208" applyFont="1" applyAlignment="1">
      <alignment horizontal="right" vertical="center"/>
    </xf>
    <xf numFmtId="0" fontId="104" fillId="0" borderId="0" xfId="208" applyFont="1" applyAlignment="1"/>
    <xf numFmtId="0" fontId="104" fillId="0" borderId="0" xfId="863" applyFont="1" applyAlignment="1">
      <alignment horizontal="right" vertical="center"/>
    </xf>
    <xf numFmtId="0" fontId="104" fillId="0" borderId="0" xfId="208" applyFont="1" applyAlignment="1">
      <alignment horizontal="left" vertical="center"/>
    </xf>
    <xf numFmtId="0" fontId="80" fillId="0" borderId="0" xfId="208" applyFont="1">
      <alignment vertical="center"/>
    </xf>
    <xf numFmtId="0" fontId="11" fillId="0" borderId="0" xfId="208" quotePrefix="1" applyFont="1" applyAlignment="1">
      <alignment horizontal="center" vertical="center"/>
    </xf>
    <xf numFmtId="0" fontId="11" fillId="0" borderId="0" xfId="208" applyFont="1" applyAlignment="1">
      <alignment horizontal="left" vertical="center"/>
    </xf>
    <xf numFmtId="2" fontId="40" fillId="2" borderId="0" xfId="177" quotePrefix="1" applyNumberFormat="1" applyFont="1" applyFill="1" applyAlignment="1">
      <alignment horizontal="right" vertical="center"/>
    </xf>
    <xf numFmtId="0" fontId="40" fillId="0" borderId="21" xfId="177" applyFont="1" applyBorder="1" applyAlignment="1">
      <alignment horizontal="center" vertical="center"/>
    </xf>
    <xf numFmtId="2" fontId="15" fillId="0" borderId="0" xfId="0" applyNumberFormat="1" applyFont="1" applyAlignment="1">
      <alignment horizontal="left" vertical="center"/>
    </xf>
    <xf numFmtId="176" fontId="74" fillId="0" borderId="4" xfId="0" applyNumberFormat="1" applyFont="1" applyBorder="1" applyAlignment="1">
      <alignment horizontal="right" vertical="center"/>
    </xf>
    <xf numFmtId="0" fontId="41" fillId="0" borderId="0" xfId="208" applyFont="1" applyAlignment="1">
      <alignment horizontal="center" vertical="center"/>
    </xf>
    <xf numFmtId="0" fontId="41" fillId="0" borderId="25" xfId="177" applyFont="1" applyBorder="1" applyAlignment="1">
      <alignment horizontal="center" vertical="center"/>
    </xf>
    <xf numFmtId="0" fontId="41" fillId="0" borderId="10" xfId="208" applyFont="1" applyBorder="1" applyAlignment="1">
      <alignment horizontal="center" vertical="center"/>
    </xf>
    <xf numFmtId="0" fontId="41" fillId="0" borderId="8" xfId="208" applyFont="1" applyBorder="1" applyAlignment="1">
      <alignment horizontal="center" vertical="center"/>
    </xf>
    <xf numFmtId="2" fontId="41" fillId="0" borderId="9" xfId="177" applyNumberFormat="1" applyFont="1" applyBorder="1" applyAlignment="1">
      <alignment horizontal="center" vertical="center"/>
    </xf>
    <xf numFmtId="0" fontId="41" fillId="0" borderId="1" xfId="177" applyFont="1" applyBorder="1" applyAlignment="1">
      <alignment horizontal="center" vertical="center"/>
    </xf>
    <xf numFmtId="2" fontId="41" fillId="0" borderId="1" xfId="177" applyNumberFormat="1" applyFont="1" applyBorder="1" applyAlignment="1">
      <alignment horizontal="center" vertical="center"/>
    </xf>
    <xf numFmtId="0" fontId="113" fillId="0" borderId="0" xfId="901" applyAlignment="1" applyProtection="1">
      <alignment horizontal="right" vertical="center"/>
    </xf>
    <xf numFmtId="0" fontId="11" fillId="0" borderId="0" xfId="177" applyFont="1" applyAlignment="1">
      <alignment horizontal="center" vertical="center"/>
    </xf>
    <xf numFmtId="0" fontId="41" fillId="5" borderId="8" xfId="208" applyFont="1" applyFill="1" applyBorder="1" applyAlignment="1">
      <alignment horizontal="center" vertical="center"/>
    </xf>
    <xf numFmtId="0" fontId="41" fillId="5" borderId="29" xfId="208" applyFont="1" applyFill="1" applyBorder="1" applyAlignment="1">
      <alignment horizontal="center" vertical="center"/>
    </xf>
    <xf numFmtId="0" fontId="15" fillId="5" borderId="1" xfId="208" applyFont="1" applyFill="1" applyBorder="1" applyAlignment="1">
      <alignment horizontal="center" vertical="center"/>
    </xf>
    <xf numFmtId="0" fontId="15" fillId="5" borderId="30" xfId="208" applyFont="1" applyFill="1" applyBorder="1" applyAlignment="1">
      <alignment horizontal="center" vertical="center"/>
    </xf>
    <xf numFmtId="0" fontId="46" fillId="5" borderId="1" xfId="208" applyFont="1" applyFill="1" applyBorder="1" applyAlignment="1">
      <alignment horizontal="center" vertical="center"/>
    </xf>
    <xf numFmtId="0" fontId="46" fillId="5" borderId="30" xfId="208" applyFont="1" applyFill="1" applyBorder="1" applyAlignment="1">
      <alignment horizontal="center" vertical="center"/>
    </xf>
    <xf numFmtId="0" fontId="46" fillId="5" borderId="4" xfId="208" applyFont="1" applyFill="1" applyBorder="1" applyAlignment="1">
      <alignment horizontal="center" vertical="center"/>
    </xf>
    <xf numFmtId="0" fontId="11" fillId="0" borderId="0" xfId="208" applyFont="1" applyAlignment="1">
      <alignment horizontal="center" vertical="center"/>
    </xf>
    <xf numFmtId="0" fontId="11" fillId="0" borderId="33" xfId="208" applyFont="1" applyBorder="1" applyAlignment="1">
      <alignment horizontal="center" vertical="center"/>
    </xf>
    <xf numFmtId="0" fontId="11" fillId="0" borderId="8" xfId="208" applyFont="1" applyBorder="1" applyAlignment="1">
      <alignment horizontal="center" vertical="center"/>
    </xf>
    <xf numFmtId="2" fontId="11" fillId="0" borderId="34" xfId="177" applyNumberFormat="1" applyFont="1" applyBorder="1" applyAlignment="1">
      <alignment horizontal="center" vertical="center"/>
    </xf>
    <xf numFmtId="2" fontId="11" fillId="0" borderId="22" xfId="177" applyNumberFormat="1" applyFont="1" applyBorder="1" applyAlignment="1">
      <alignment horizontal="center" vertical="center"/>
    </xf>
    <xf numFmtId="2" fontId="11" fillId="0" borderId="9" xfId="177" applyNumberFormat="1" applyFont="1" applyBorder="1" applyAlignment="1">
      <alignment horizontal="center" vertical="center"/>
    </xf>
    <xf numFmtId="2" fontId="11" fillId="0" borderId="7" xfId="177" applyNumberFormat="1" applyFont="1" applyBorder="1" applyAlignment="1">
      <alignment horizontal="center" vertical="center"/>
    </xf>
    <xf numFmtId="0" fontId="113" fillId="0" borderId="0" xfId="901" applyAlignment="1" applyProtection="1">
      <alignment horizontal="center" vertical="center"/>
    </xf>
    <xf numFmtId="0" fontId="41" fillId="0" borderId="0" xfId="177" applyFont="1" applyAlignment="1">
      <alignment horizontal="center" vertical="center"/>
    </xf>
    <xf numFmtId="0" fontId="11" fillId="5" borderId="8" xfId="208" applyFont="1" applyFill="1" applyBorder="1" applyAlignment="1">
      <alignment horizontal="center" vertical="center"/>
    </xf>
    <xf numFmtId="0" fontId="11" fillId="5" borderId="11" xfId="208" applyFont="1" applyFill="1" applyBorder="1" applyAlignment="1">
      <alignment horizontal="center" vertical="center"/>
    </xf>
    <xf numFmtId="0" fontId="104" fillId="5" borderId="7" xfId="208" applyFont="1" applyFill="1" applyBorder="1" applyAlignment="1">
      <alignment horizontal="center" vertical="center"/>
    </xf>
    <xf numFmtId="0" fontId="104" fillId="5" borderId="32" xfId="208" applyFont="1" applyFill="1" applyBorder="1" applyAlignment="1">
      <alignment horizontal="center" vertical="center"/>
    </xf>
    <xf numFmtId="0" fontId="104" fillId="5" borderId="4" xfId="208" applyFont="1" applyFill="1" applyBorder="1" applyAlignment="1">
      <alignment horizontal="center" vertical="center"/>
    </xf>
    <xf numFmtId="0" fontId="104" fillId="5" borderId="8" xfId="208" applyFont="1" applyFill="1" applyBorder="1" applyAlignment="1">
      <alignment horizontal="center" vertical="center"/>
    </xf>
    <xf numFmtId="0" fontId="104" fillId="5" borderId="1" xfId="208" applyFont="1" applyFill="1" applyBorder="1" applyAlignment="1">
      <alignment horizontal="center" vertical="center"/>
    </xf>
    <xf numFmtId="0" fontId="40" fillId="0" borderId="4" xfId="0" applyFont="1" applyBorder="1" applyAlignment="1">
      <alignment horizontal="center" vertical="center"/>
    </xf>
    <xf numFmtId="0" fontId="40" fillId="0" borderId="8" xfId="0" applyFont="1" applyBorder="1" applyAlignment="1">
      <alignment horizontal="center" vertical="center"/>
    </xf>
    <xf numFmtId="49" fontId="12" fillId="0" borderId="0" xfId="212" applyNumberFormat="1" applyFont="1" applyAlignment="1">
      <alignment horizontal="left" vertical="center"/>
    </xf>
    <xf numFmtId="0" fontId="40" fillId="0" borderId="0" xfId="177" applyFont="1" applyAlignment="1" applyProtection="1">
      <alignment horizontal="center" vertical="center"/>
      <protection locked="0"/>
    </xf>
    <xf numFmtId="2" fontId="11" fillId="0" borderId="1" xfId="0" applyNumberFormat="1" applyFont="1" applyBorder="1" applyAlignment="1">
      <alignment horizontal="center" vertical="center"/>
    </xf>
    <xf numFmtId="176" fontId="24" fillId="0" borderId="0" xfId="0" applyNumberFormat="1" applyFont="1" applyAlignment="1">
      <alignment horizontal="left" vertical="center"/>
    </xf>
    <xf numFmtId="2" fontId="11" fillId="0" borderId="14" xfId="0" applyNumberFormat="1" applyFont="1" applyBorder="1" applyAlignment="1">
      <alignment horizontal="center" vertical="center"/>
    </xf>
    <xf numFmtId="2" fontId="11" fillId="0" borderId="15" xfId="0" applyNumberFormat="1" applyFont="1" applyBorder="1" applyAlignment="1">
      <alignment horizontal="center" vertical="center"/>
    </xf>
    <xf numFmtId="2" fontId="11" fillId="0" borderId="0" xfId="0" applyNumberFormat="1" applyFont="1" applyAlignment="1">
      <alignment horizontal="center" vertical="center"/>
    </xf>
    <xf numFmtId="2" fontId="11" fillId="0" borderId="17" xfId="0" applyNumberFormat="1" applyFont="1" applyBorder="1" applyAlignment="1">
      <alignment horizontal="center" vertical="center"/>
    </xf>
    <xf numFmtId="2" fontId="11" fillId="0" borderId="19" xfId="0" applyNumberFormat="1" applyFont="1" applyBorder="1" applyAlignment="1">
      <alignment horizontal="center" vertical="center"/>
    </xf>
    <xf numFmtId="2" fontId="11" fillId="0" borderId="20" xfId="0" applyNumberFormat="1" applyFont="1" applyBorder="1" applyAlignment="1">
      <alignment horizontal="center" vertical="center"/>
    </xf>
    <xf numFmtId="2" fontId="11" fillId="0" borderId="4" xfId="0" applyNumberFormat="1" applyFont="1" applyBorder="1" applyAlignment="1">
      <alignment horizontal="center" vertical="center"/>
    </xf>
    <xf numFmtId="2" fontId="11" fillId="0" borderId="8" xfId="0" applyNumberFormat="1" applyFont="1" applyBorder="1" applyAlignment="1">
      <alignment horizontal="center" vertical="center"/>
    </xf>
    <xf numFmtId="2" fontId="11" fillId="0" borderId="3" xfId="0" applyNumberFormat="1" applyFont="1" applyBorder="1" applyAlignment="1">
      <alignment horizontal="center" vertical="center"/>
    </xf>
    <xf numFmtId="2" fontId="11" fillId="0" borderId="5" xfId="0" applyNumberFormat="1" applyFont="1" applyBorder="1" applyAlignment="1">
      <alignment horizontal="center" vertical="center"/>
    </xf>
    <xf numFmtId="2" fontId="11" fillId="0" borderId="11" xfId="0" applyNumberFormat="1" applyFont="1" applyBorder="1" applyAlignment="1">
      <alignment horizontal="center" vertical="center"/>
    </xf>
    <xf numFmtId="0" fontId="110" fillId="0" borderId="14" xfId="208" applyFont="1" applyBorder="1" applyAlignment="1">
      <alignment horizontal="center" vertical="center"/>
    </xf>
    <xf numFmtId="0" fontId="110" fillId="0" borderId="0" xfId="208" applyFont="1" applyAlignment="1">
      <alignment horizontal="center" vertical="center"/>
    </xf>
    <xf numFmtId="185" fontId="11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176" fontId="74" fillId="5" borderId="8" xfId="0" applyNumberFormat="1" applyFont="1" applyFill="1" applyBorder="1" applyAlignment="1">
      <alignment horizontal="center" vertical="center"/>
    </xf>
    <xf numFmtId="176" fontId="74" fillId="5" borderId="4" xfId="0" applyNumberFormat="1" applyFont="1" applyFill="1" applyBorder="1" applyAlignment="1">
      <alignment horizontal="center" vertical="center"/>
    </xf>
    <xf numFmtId="2" fontId="74" fillId="5" borderId="2" xfId="0" applyNumberFormat="1" applyFont="1" applyFill="1" applyBorder="1" applyAlignment="1">
      <alignment horizontal="center" vertical="center"/>
    </xf>
    <xf numFmtId="2" fontId="74" fillId="5" borderId="8" xfId="0" applyNumberFormat="1" applyFont="1" applyFill="1" applyBorder="1" applyAlignment="1">
      <alignment horizontal="center" vertical="center"/>
    </xf>
    <xf numFmtId="2" fontId="74" fillId="5" borderId="1" xfId="0" applyNumberFormat="1" applyFont="1" applyFill="1" applyBorder="1" applyAlignment="1">
      <alignment horizontal="center" vertical="center"/>
    </xf>
    <xf numFmtId="2" fontId="74" fillId="5" borderId="4" xfId="0" applyNumberFormat="1" applyFont="1" applyFill="1" applyBorder="1" applyAlignment="1">
      <alignment horizontal="center" vertical="center"/>
    </xf>
    <xf numFmtId="176" fontId="74" fillId="5" borderId="39" xfId="0" applyNumberFormat="1" applyFont="1" applyFill="1" applyBorder="1" applyAlignment="1">
      <alignment horizontal="center" vertical="center"/>
    </xf>
    <xf numFmtId="176" fontId="74" fillId="5" borderId="2" xfId="0" applyNumberFormat="1" applyFont="1" applyFill="1" applyBorder="1" applyAlignment="1">
      <alignment horizontal="center" vertical="center"/>
    </xf>
    <xf numFmtId="0" fontId="74" fillId="0" borderId="3" xfId="0" applyFont="1" applyBorder="1" applyAlignment="1">
      <alignment horizontal="center" vertical="center"/>
    </xf>
    <xf numFmtId="0" fontId="74" fillId="0" borderId="5" xfId="0" applyFont="1" applyBorder="1" applyAlignment="1">
      <alignment horizontal="center" vertical="center"/>
    </xf>
    <xf numFmtId="0" fontId="74" fillId="0" borderId="11" xfId="0" applyFont="1" applyBorder="1" applyAlignment="1">
      <alignment horizontal="center" vertical="center"/>
    </xf>
    <xf numFmtId="2" fontId="74" fillId="0" borderId="8" xfId="0" applyNumberFormat="1" applyFont="1" applyBorder="1" applyAlignment="1">
      <alignment horizontal="center" vertical="center"/>
    </xf>
    <xf numFmtId="2" fontId="74" fillId="0" borderId="4" xfId="0" applyNumberFormat="1" applyFont="1" applyBorder="1" applyAlignment="1">
      <alignment horizontal="center" vertical="center"/>
    </xf>
    <xf numFmtId="176" fontId="80" fillId="0" borderId="0" xfId="0" applyNumberFormat="1" applyFont="1" applyAlignment="1">
      <alignment horizontal="center" vertical="center"/>
    </xf>
    <xf numFmtId="0" fontId="74" fillId="0" borderId="0" xfId="0" applyFont="1" applyAlignment="1">
      <alignment horizontal="center" vertical="center"/>
    </xf>
    <xf numFmtId="0" fontId="74" fillId="0" borderId="4" xfId="0" applyFont="1" applyBorder="1" applyAlignment="1">
      <alignment horizontal="center" vertical="center"/>
    </xf>
    <xf numFmtId="0" fontId="74" fillId="0" borderId="8" xfId="0" applyFont="1" applyBorder="1" applyAlignment="1">
      <alignment horizontal="center" vertical="center"/>
    </xf>
    <xf numFmtId="176" fontId="74" fillId="5" borderId="11" xfId="0" applyNumberFormat="1" applyFont="1" applyFill="1" applyBorder="1" applyAlignment="1">
      <alignment horizontal="left" vertical="center"/>
    </xf>
    <xf numFmtId="176" fontId="74" fillId="5" borderId="12" xfId="0" applyNumberFormat="1" applyFont="1" applyFill="1" applyBorder="1" applyAlignment="1">
      <alignment horizontal="left" vertical="center"/>
    </xf>
    <xf numFmtId="176" fontId="74" fillId="5" borderId="10" xfId="0" applyNumberFormat="1" applyFont="1" applyFill="1" applyBorder="1" applyAlignment="1">
      <alignment horizontal="left" vertical="center"/>
    </xf>
    <xf numFmtId="176" fontId="74" fillId="0" borderId="4" xfId="0" applyNumberFormat="1" applyFont="1" applyBorder="1" applyAlignment="1">
      <alignment horizontal="center" vertical="center"/>
    </xf>
    <xf numFmtId="176" fontId="74" fillId="0" borderId="2" xfId="0" applyNumberFormat="1" applyFont="1" applyBorder="1" applyAlignment="1">
      <alignment horizontal="center" vertical="center"/>
    </xf>
    <xf numFmtId="176" fontId="111" fillId="0" borderId="0" xfId="0" applyNumberFormat="1" applyFont="1" applyAlignment="1">
      <alignment horizontal="center" vertical="center"/>
    </xf>
    <xf numFmtId="2" fontId="80" fillId="0" borderId="0" xfId="0" applyNumberFormat="1" applyFont="1" applyAlignment="1">
      <alignment horizontal="left" vertical="center"/>
    </xf>
    <xf numFmtId="2" fontId="74" fillId="0" borderId="0" xfId="0" applyNumberFormat="1" applyFont="1" applyAlignment="1">
      <alignment horizontal="center" vertical="center"/>
    </xf>
    <xf numFmtId="2" fontId="74" fillId="0" borderId="0" xfId="0" applyNumberFormat="1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2" fontId="11" fillId="0" borderId="13" xfId="0" applyNumberFormat="1" applyFont="1" applyBorder="1" applyAlignment="1">
      <alignment horizontal="center" vertical="center"/>
    </xf>
    <xf numFmtId="2" fontId="11" fillId="0" borderId="16" xfId="0" applyNumberFormat="1" applyFont="1" applyBorder="1" applyAlignment="1">
      <alignment horizontal="center" vertical="center"/>
    </xf>
    <xf numFmtId="2" fontId="74" fillId="0" borderId="2" xfId="0" applyNumberFormat="1" applyFont="1" applyBorder="1" applyAlignment="1">
      <alignment horizontal="center" vertical="center"/>
    </xf>
    <xf numFmtId="176" fontId="84" fillId="0" borderId="0" xfId="0" applyNumberFormat="1" applyFont="1" applyAlignment="1">
      <alignment horizontal="center" vertical="center"/>
    </xf>
    <xf numFmtId="0" fontId="30" fillId="0" borderId="1" xfId="177" applyFont="1" applyBorder="1" applyAlignment="1">
      <alignment horizontal="center" vertical="center"/>
    </xf>
    <xf numFmtId="0" fontId="30" fillId="0" borderId="7" xfId="177" applyFont="1" applyBorder="1" applyAlignment="1">
      <alignment horizontal="center" vertical="center"/>
    </xf>
    <xf numFmtId="0" fontId="30" fillId="0" borderId="3" xfId="177" applyFont="1" applyBorder="1" applyAlignment="1">
      <alignment horizontal="center" vertical="center" wrapText="1"/>
    </xf>
    <xf numFmtId="0" fontId="30" fillId="0" borderId="5" xfId="177" applyFont="1" applyBorder="1" applyAlignment="1">
      <alignment horizontal="center" vertical="center" wrapText="1"/>
    </xf>
    <xf numFmtId="0" fontId="30" fillId="0" borderId="57" xfId="177" applyFont="1" applyBorder="1" applyAlignment="1">
      <alignment horizontal="center" vertical="center" wrapText="1"/>
    </xf>
    <xf numFmtId="0" fontId="30" fillId="0" borderId="58" xfId="177" applyFont="1" applyBorder="1" applyAlignment="1">
      <alignment horizontal="center" vertical="center" wrapText="1"/>
    </xf>
    <xf numFmtId="0" fontId="30" fillId="0" borderId="19" xfId="177" applyFont="1" applyBorder="1" applyAlignment="1">
      <alignment horizontal="center" vertical="center" wrapText="1"/>
    </xf>
    <xf numFmtId="0" fontId="30" fillId="0" borderId="20" xfId="177" applyFont="1" applyBorder="1" applyAlignment="1">
      <alignment horizontal="center" vertical="center" wrapText="1"/>
    </xf>
    <xf numFmtId="0" fontId="11" fillId="0" borderId="38" xfId="177" applyFont="1" applyBorder="1" applyAlignment="1">
      <alignment horizontal="center" vertical="center"/>
    </xf>
    <xf numFmtId="0" fontId="11" fillId="0" borderId="41" xfId="177" applyFont="1" applyBorder="1" applyAlignment="1">
      <alignment horizontal="center" vertical="center"/>
    </xf>
    <xf numFmtId="1" fontId="40" fillId="0" borderId="38" xfId="208" applyNumberFormat="1" applyFont="1" applyBorder="1" applyAlignment="1" applyProtection="1">
      <alignment horizontal="center" vertical="center"/>
      <protection locked="0"/>
    </xf>
    <xf numFmtId="1" fontId="40" fillId="0" borderId="41" xfId="208" applyNumberFormat="1" applyFont="1" applyBorder="1" applyAlignment="1" applyProtection="1">
      <alignment horizontal="center" vertical="center"/>
      <protection locked="0"/>
    </xf>
    <xf numFmtId="0" fontId="30" fillId="0" borderId="7" xfId="177" applyFont="1" applyBorder="1" applyAlignment="1">
      <alignment horizontal="center" vertical="center" wrapText="1"/>
    </xf>
    <xf numFmtId="0" fontId="30" fillId="0" borderId="9" xfId="177" applyFont="1" applyBorder="1" applyAlignment="1">
      <alignment horizontal="center" vertical="center" wrapText="1"/>
    </xf>
    <xf numFmtId="0" fontId="30" fillId="0" borderId="4" xfId="177" applyFont="1" applyBorder="1" applyAlignment="1">
      <alignment horizontal="center" vertical="center"/>
    </xf>
    <xf numFmtId="0" fontId="30" fillId="0" borderId="2" xfId="177" applyFont="1" applyBorder="1" applyAlignment="1">
      <alignment horizontal="center" vertical="center"/>
    </xf>
    <xf numFmtId="0" fontId="30" fillId="0" borderId="8" xfId="177" applyFont="1" applyBorder="1" applyAlignment="1">
      <alignment horizontal="center" vertical="center"/>
    </xf>
    <xf numFmtId="0" fontId="11" fillId="0" borderId="4" xfId="177" applyFont="1" applyBorder="1" applyAlignment="1">
      <alignment horizontal="center" vertical="center"/>
    </xf>
    <xf numFmtId="0" fontId="11" fillId="0" borderId="2" xfId="177" applyFont="1" applyBorder="1" applyAlignment="1">
      <alignment horizontal="center" vertical="center"/>
    </xf>
    <xf numFmtId="0" fontId="11" fillId="0" borderId="8" xfId="177" applyFont="1" applyBorder="1" applyAlignment="1">
      <alignment horizontal="center" vertical="center"/>
    </xf>
    <xf numFmtId="0" fontId="11" fillId="0" borderId="23" xfId="177" applyFont="1" applyBorder="1" applyAlignment="1">
      <alignment horizontal="center" vertical="center"/>
    </xf>
    <xf numFmtId="0" fontId="11" fillId="0" borderId="24" xfId="177" applyFont="1" applyBorder="1" applyAlignment="1">
      <alignment horizontal="center" vertical="center"/>
    </xf>
    <xf numFmtId="0" fontId="101" fillId="0" borderId="22" xfId="208" applyFont="1" applyBorder="1" applyAlignment="1">
      <alignment horizontal="center" vertical="center"/>
    </xf>
    <xf numFmtId="0" fontId="101" fillId="0" borderId="1" xfId="208" applyFont="1" applyBorder="1" applyAlignment="1">
      <alignment horizontal="center" vertical="center"/>
    </xf>
    <xf numFmtId="0" fontId="101" fillId="0" borderId="52" xfId="208" applyFont="1" applyBorder="1" applyAlignment="1">
      <alignment horizontal="center" vertical="center"/>
    </xf>
    <xf numFmtId="1" fontId="40" fillId="0" borderId="15" xfId="208" applyNumberFormat="1" applyFont="1" applyBorder="1" applyAlignment="1" applyProtection="1">
      <alignment horizontal="center" vertical="center"/>
      <protection locked="0"/>
    </xf>
    <xf numFmtId="1" fontId="40" fillId="0" borderId="20" xfId="208" applyNumberFormat="1" applyFont="1" applyBorder="1" applyAlignment="1" applyProtection="1">
      <alignment horizontal="center" vertical="center"/>
      <protection locked="0"/>
    </xf>
    <xf numFmtId="0" fontId="11" fillId="0" borderId="13" xfId="177" applyFont="1" applyBorder="1" applyAlignment="1">
      <alignment horizontal="center" vertical="center"/>
    </xf>
    <xf numFmtId="0" fontId="11" fillId="0" borderId="15" xfId="177" applyFont="1" applyBorder="1" applyAlignment="1">
      <alignment horizontal="center" vertical="center"/>
    </xf>
    <xf numFmtId="0" fontId="11" fillId="0" borderId="18" xfId="177" applyFont="1" applyBorder="1" applyAlignment="1">
      <alignment horizontal="center" vertical="center"/>
    </xf>
    <xf numFmtId="0" fontId="11" fillId="0" borderId="20" xfId="177" applyFont="1" applyBorder="1" applyAlignment="1">
      <alignment horizontal="center" vertical="center"/>
    </xf>
    <xf numFmtId="197" fontId="11" fillId="0" borderId="0" xfId="177" applyNumberFormat="1" applyFont="1" applyAlignment="1">
      <alignment horizontal="left" vertical="center"/>
    </xf>
    <xf numFmtId="176" fontId="40" fillId="0" borderId="15" xfId="208" applyNumberFormat="1" applyFont="1" applyBorder="1" applyAlignment="1" applyProtection="1">
      <alignment horizontal="center" vertical="center"/>
      <protection locked="0"/>
    </xf>
    <xf numFmtId="176" fontId="40" fillId="0" borderId="20" xfId="208" applyNumberFormat="1" applyFont="1" applyBorder="1" applyAlignment="1" applyProtection="1">
      <alignment horizontal="center" vertical="center"/>
      <protection locked="0"/>
    </xf>
    <xf numFmtId="0" fontId="30" fillId="0" borderId="4" xfId="208" applyFont="1" applyBorder="1" applyAlignment="1">
      <alignment horizontal="center" vertical="center"/>
    </xf>
    <xf numFmtId="0" fontId="30" fillId="0" borderId="2" xfId="208" applyFont="1" applyBorder="1" applyAlignment="1">
      <alignment horizontal="center" vertical="center"/>
    </xf>
    <xf numFmtId="0" fontId="30" fillId="0" borderId="8" xfId="208" applyFont="1" applyBorder="1" applyAlignment="1">
      <alignment horizontal="center" vertical="center"/>
    </xf>
    <xf numFmtId="0" fontId="30" fillId="0" borderId="52" xfId="177" applyFont="1" applyBorder="1" applyAlignment="1">
      <alignment horizontal="center" vertical="center"/>
    </xf>
    <xf numFmtId="0" fontId="30" fillId="0" borderId="3" xfId="177" applyFont="1" applyBorder="1" applyAlignment="1">
      <alignment horizontal="center" vertical="center"/>
    </xf>
    <xf numFmtId="0" fontId="30" fillId="0" borderId="5" xfId="177" applyFont="1" applyBorder="1" applyAlignment="1">
      <alignment horizontal="center" vertical="center"/>
    </xf>
    <xf numFmtId="0" fontId="30" fillId="0" borderId="11" xfId="177" applyFont="1" applyBorder="1" applyAlignment="1">
      <alignment horizontal="center" vertical="center"/>
    </xf>
    <xf numFmtId="0" fontId="30" fillId="0" borderId="9" xfId="208" applyFont="1" applyBorder="1" applyAlignment="1">
      <alignment horizontal="center" vertical="center"/>
    </xf>
    <xf numFmtId="0" fontId="30" fillId="0" borderId="1" xfId="208" applyFont="1" applyBorder="1" applyAlignment="1">
      <alignment horizontal="center" vertical="center"/>
    </xf>
    <xf numFmtId="0" fontId="30" fillId="0" borderId="7" xfId="208" applyFont="1" applyBorder="1" applyAlignment="1">
      <alignment horizontal="center" vertical="center"/>
    </xf>
    <xf numFmtId="0" fontId="30" fillId="0" borderId="3" xfId="208" applyFont="1" applyBorder="1" applyAlignment="1">
      <alignment horizontal="center" vertical="center"/>
    </xf>
    <xf numFmtId="0" fontId="101" fillId="0" borderId="49" xfId="208" applyFont="1" applyBorder="1" applyAlignment="1">
      <alignment horizontal="center" vertical="center"/>
    </xf>
    <xf numFmtId="0" fontId="101" fillId="0" borderId="14" xfId="208" applyFont="1" applyBorder="1" applyAlignment="1">
      <alignment horizontal="center" vertical="center"/>
    </xf>
    <xf numFmtId="0" fontId="101" fillId="0" borderId="50" xfId="208" applyFont="1" applyBorder="1" applyAlignment="1">
      <alignment horizontal="center" vertical="center"/>
    </xf>
    <xf numFmtId="0" fontId="11" fillId="0" borderId="51" xfId="177" applyFont="1" applyBorder="1" applyAlignment="1">
      <alignment horizontal="center" vertical="center"/>
    </xf>
    <xf numFmtId="0" fontId="11" fillId="0" borderId="47" xfId="177" applyFont="1" applyBorder="1" applyAlignment="1">
      <alignment horizontal="center" vertical="center"/>
    </xf>
  </cellXfs>
  <cellStyles count="902">
    <cellStyle name="백분율" xfId="866" builtinId="5"/>
    <cellStyle name="백분율 2" xfId="867" xr:uid="{00000000-0005-0000-0000-000001000000}"/>
    <cellStyle name="쉼표 [0]" xfId="900" builtinId="6"/>
    <cellStyle name="쉼표 [0] 2" xfId="868" xr:uid="{00000000-0005-0000-0000-000002000000}"/>
    <cellStyle name="콤마 [0]_CAST-IN CHANNEL(fc210-상단)" xfId="1" xr:uid="{00000000-0005-0000-0000-000003000000}"/>
    <cellStyle name="콤마_CAST-IN CHANNEL(fc210-상단)" xfId="2" xr:uid="{00000000-0005-0000-0000-000004000000}"/>
    <cellStyle name="표준" xfId="0" builtinId="0"/>
    <cellStyle name="표준 10" xfId="3" xr:uid="{00000000-0005-0000-0000-000006000000}"/>
    <cellStyle name="표준 10 2" xfId="4" xr:uid="{00000000-0005-0000-0000-000007000000}"/>
    <cellStyle name="표준 10 2 2" xfId="5" xr:uid="{00000000-0005-0000-0000-000008000000}"/>
    <cellStyle name="표준 10 2 2 2" xfId="6" xr:uid="{00000000-0005-0000-0000-000009000000}"/>
    <cellStyle name="표준 10 2 2 2 2" xfId="7" xr:uid="{00000000-0005-0000-0000-00000A000000}"/>
    <cellStyle name="표준 10 2 2 2 2 2" xfId="8" xr:uid="{00000000-0005-0000-0000-00000B000000}"/>
    <cellStyle name="표준 10 2 2 2 3" xfId="9" xr:uid="{00000000-0005-0000-0000-00000C000000}"/>
    <cellStyle name="표준 10 2 2 3" xfId="10" xr:uid="{00000000-0005-0000-0000-00000D000000}"/>
    <cellStyle name="표준 10 2 2 3 2" xfId="11" xr:uid="{00000000-0005-0000-0000-00000E000000}"/>
    <cellStyle name="표준 10 2 2 4" xfId="12" xr:uid="{00000000-0005-0000-0000-00000F000000}"/>
    <cellStyle name="표준 10 2 3" xfId="13" xr:uid="{00000000-0005-0000-0000-000010000000}"/>
    <cellStyle name="표준 10 2 3 2" xfId="14" xr:uid="{00000000-0005-0000-0000-000011000000}"/>
    <cellStyle name="표준 10 2 3 2 2" xfId="15" xr:uid="{00000000-0005-0000-0000-000012000000}"/>
    <cellStyle name="표준 10 2 3 3" xfId="16" xr:uid="{00000000-0005-0000-0000-000013000000}"/>
    <cellStyle name="표준 10 2 4" xfId="17" xr:uid="{00000000-0005-0000-0000-000014000000}"/>
    <cellStyle name="표준 10 2 4 2" xfId="18" xr:uid="{00000000-0005-0000-0000-000015000000}"/>
    <cellStyle name="표준 10 2 5" xfId="19" xr:uid="{00000000-0005-0000-0000-000016000000}"/>
    <cellStyle name="표준 10 3" xfId="20" xr:uid="{00000000-0005-0000-0000-000017000000}"/>
    <cellStyle name="표준 10 3 2" xfId="21" xr:uid="{00000000-0005-0000-0000-000018000000}"/>
    <cellStyle name="표준 10 3 2 2" xfId="22" xr:uid="{00000000-0005-0000-0000-000019000000}"/>
    <cellStyle name="표준 10 3 2 2 2" xfId="23" xr:uid="{00000000-0005-0000-0000-00001A000000}"/>
    <cellStyle name="표준 10 3 2 3" xfId="24" xr:uid="{00000000-0005-0000-0000-00001B000000}"/>
    <cellStyle name="표준 10 3 3" xfId="25" xr:uid="{00000000-0005-0000-0000-00001C000000}"/>
    <cellStyle name="표준 10 3 3 2" xfId="26" xr:uid="{00000000-0005-0000-0000-00001D000000}"/>
    <cellStyle name="표준 10 3 4" xfId="27" xr:uid="{00000000-0005-0000-0000-00001E000000}"/>
    <cellStyle name="표준 10 4" xfId="28" xr:uid="{00000000-0005-0000-0000-00001F000000}"/>
    <cellStyle name="표준 10 4 2" xfId="29" xr:uid="{00000000-0005-0000-0000-000020000000}"/>
    <cellStyle name="표준 10 4 2 2" xfId="30" xr:uid="{00000000-0005-0000-0000-000021000000}"/>
    <cellStyle name="표준 10 4 3" xfId="31" xr:uid="{00000000-0005-0000-0000-000022000000}"/>
    <cellStyle name="표준 10 5" xfId="32" xr:uid="{00000000-0005-0000-0000-000023000000}"/>
    <cellStyle name="표준 10 5 2" xfId="33" xr:uid="{00000000-0005-0000-0000-000024000000}"/>
    <cellStyle name="표준 10 6" xfId="34" xr:uid="{00000000-0005-0000-0000-000025000000}"/>
    <cellStyle name="표준 11" xfId="35" xr:uid="{00000000-0005-0000-0000-000026000000}"/>
    <cellStyle name="표준 11 2" xfId="36" xr:uid="{00000000-0005-0000-0000-000027000000}"/>
    <cellStyle name="표준 11 3" xfId="37" xr:uid="{00000000-0005-0000-0000-000028000000}"/>
    <cellStyle name="표준 11 3 2" xfId="38" xr:uid="{00000000-0005-0000-0000-000029000000}"/>
    <cellStyle name="표준 11 3 2 2" xfId="39" xr:uid="{00000000-0005-0000-0000-00002A000000}"/>
    <cellStyle name="표준 11 3 2 2 2" xfId="40" xr:uid="{00000000-0005-0000-0000-00002B000000}"/>
    <cellStyle name="표준 11 3 2 2 2 2" xfId="41" xr:uid="{00000000-0005-0000-0000-00002C000000}"/>
    <cellStyle name="표준 11 3 2 2 3" xfId="42" xr:uid="{00000000-0005-0000-0000-00002D000000}"/>
    <cellStyle name="표준 11 3 2 3" xfId="43" xr:uid="{00000000-0005-0000-0000-00002E000000}"/>
    <cellStyle name="표준 11 3 2 3 2" xfId="44" xr:uid="{00000000-0005-0000-0000-00002F000000}"/>
    <cellStyle name="표준 11 3 2 4" xfId="45" xr:uid="{00000000-0005-0000-0000-000030000000}"/>
    <cellStyle name="표준 11 3 3" xfId="46" xr:uid="{00000000-0005-0000-0000-000031000000}"/>
    <cellStyle name="표준 11 3 3 2" xfId="47" xr:uid="{00000000-0005-0000-0000-000032000000}"/>
    <cellStyle name="표준 11 3 3 2 2" xfId="48" xr:uid="{00000000-0005-0000-0000-000033000000}"/>
    <cellStyle name="표준 11 3 3 3" xfId="49" xr:uid="{00000000-0005-0000-0000-000034000000}"/>
    <cellStyle name="표준 11 3 4" xfId="50" xr:uid="{00000000-0005-0000-0000-000035000000}"/>
    <cellStyle name="표준 11 3 4 2" xfId="51" xr:uid="{00000000-0005-0000-0000-000036000000}"/>
    <cellStyle name="표준 11 3 5" xfId="52" xr:uid="{00000000-0005-0000-0000-000037000000}"/>
    <cellStyle name="표준 11 4" xfId="53" xr:uid="{00000000-0005-0000-0000-000038000000}"/>
    <cellStyle name="표준 11 4 2" xfId="54" xr:uid="{00000000-0005-0000-0000-000039000000}"/>
    <cellStyle name="표준 11 4 2 2" xfId="55" xr:uid="{00000000-0005-0000-0000-00003A000000}"/>
    <cellStyle name="표준 11 4 3" xfId="56" xr:uid="{00000000-0005-0000-0000-00003B000000}"/>
    <cellStyle name="표준 11 5" xfId="57" xr:uid="{00000000-0005-0000-0000-00003C000000}"/>
    <cellStyle name="표준 11 5 2" xfId="58" xr:uid="{00000000-0005-0000-0000-00003D000000}"/>
    <cellStyle name="표준 11 5 2 2" xfId="59" xr:uid="{00000000-0005-0000-0000-00003E000000}"/>
    <cellStyle name="표준 11 5 3" xfId="60" xr:uid="{00000000-0005-0000-0000-00003F000000}"/>
    <cellStyle name="표준 11 6" xfId="61" xr:uid="{00000000-0005-0000-0000-000040000000}"/>
    <cellStyle name="표준 11 6 2" xfId="62" xr:uid="{00000000-0005-0000-0000-000041000000}"/>
    <cellStyle name="표준 11 7" xfId="63" xr:uid="{00000000-0005-0000-0000-000042000000}"/>
    <cellStyle name="표준 11 7 2" xfId="869" xr:uid="{00000000-0005-0000-0000-000043000000}"/>
    <cellStyle name="표준 11 8" xfId="64" xr:uid="{00000000-0005-0000-0000-000044000000}"/>
    <cellStyle name="표준 12" xfId="65" xr:uid="{00000000-0005-0000-0000-000045000000}"/>
    <cellStyle name="표준 13" xfId="66" xr:uid="{00000000-0005-0000-0000-000046000000}"/>
    <cellStyle name="표준 14" xfId="67" xr:uid="{00000000-0005-0000-0000-000047000000}"/>
    <cellStyle name="표준 15" xfId="68" xr:uid="{00000000-0005-0000-0000-000048000000}"/>
    <cellStyle name="표준 15 2" xfId="69" xr:uid="{00000000-0005-0000-0000-000049000000}"/>
    <cellStyle name="표준 15 2 2" xfId="70" xr:uid="{00000000-0005-0000-0000-00004A000000}"/>
    <cellStyle name="표준 15 2 2 2" xfId="71" xr:uid="{00000000-0005-0000-0000-00004B000000}"/>
    <cellStyle name="표준 15 2 2 2 2" xfId="72" xr:uid="{00000000-0005-0000-0000-00004C000000}"/>
    <cellStyle name="표준 15 2 2 3" xfId="73" xr:uid="{00000000-0005-0000-0000-00004D000000}"/>
    <cellStyle name="표준 15 2 3" xfId="74" xr:uid="{00000000-0005-0000-0000-00004E000000}"/>
    <cellStyle name="표준 15 2 3 2" xfId="75" xr:uid="{00000000-0005-0000-0000-00004F000000}"/>
    <cellStyle name="표준 15 2 4" xfId="76" xr:uid="{00000000-0005-0000-0000-000050000000}"/>
    <cellStyle name="표준 15 3" xfId="77" xr:uid="{00000000-0005-0000-0000-000051000000}"/>
    <cellStyle name="표준 15 3 2" xfId="78" xr:uid="{00000000-0005-0000-0000-000052000000}"/>
    <cellStyle name="표준 15 3 2 2" xfId="79" xr:uid="{00000000-0005-0000-0000-000053000000}"/>
    <cellStyle name="표준 15 3 2 2 2" xfId="80" xr:uid="{00000000-0005-0000-0000-000054000000}"/>
    <cellStyle name="표준 15 3 2 3" xfId="81" xr:uid="{00000000-0005-0000-0000-000055000000}"/>
    <cellStyle name="표준 15 3 3" xfId="82" xr:uid="{00000000-0005-0000-0000-000056000000}"/>
    <cellStyle name="표준 15 3 3 2" xfId="83" xr:uid="{00000000-0005-0000-0000-000057000000}"/>
    <cellStyle name="표준 15 3 4" xfId="84" xr:uid="{00000000-0005-0000-0000-000058000000}"/>
    <cellStyle name="표준 15 4" xfId="85" xr:uid="{00000000-0005-0000-0000-000059000000}"/>
    <cellStyle name="표준 15 4 2" xfId="86" xr:uid="{00000000-0005-0000-0000-00005A000000}"/>
    <cellStyle name="표준 15 4 2 2" xfId="87" xr:uid="{00000000-0005-0000-0000-00005B000000}"/>
    <cellStyle name="표준 15 4 3" xfId="88" xr:uid="{00000000-0005-0000-0000-00005C000000}"/>
    <cellStyle name="표준 15 5" xfId="89" xr:uid="{00000000-0005-0000-0000-00005D000000}"/>
    <cellStyle name="표준 15 5 2" xfId="90" xr:uid="{00000000-0005-0000-0000-00005E000000}"/>
    <cellStyle name="표준 15 6" xfId="91" xr:uid="{00000000-0005-0000-0000-00005F000000}"/>
    <cellStyle name="표준 16" xfId="92" xr:uid="{00000000-0005-0000-0000-000060000000}"/>
    <cellStyle name="표준 16 2" xfId="93" xr:uid="{00000000-0005-0000-0000-000061000000}"/>
    <cellStyle name="표준 16 2 2" xfId="94" xr:uid="{00000000-0005-0000-0000-000062000000}"/>
    <cellStyle name="표준 16 2 2 2" xfId="95" xr:uid="{00000000-0005-0000-0000-000063000000}"/>
    <cellStyle name="표준 16 2 2 2 2" xfId="96" xr:uid="{00000000-0005-0000-0000-000064000000}"/>
    <cellStyle name="표준 16 2 2 3" xfId="97" xr:uid="{00000000-0005-0000-0000-000065000000}"/>
    <cellStyle name="표준 16 2 3" xfId="98" xr:uid="{00000000-0005-0000-0000-000066000000}"/>
    <cellStyle name="표준 16 2 3 2" xfId="99" xr:uid="{00000000-0005-0000-0000-000067000000}"/>
    <cellStyle name="표준 16 2 4" xfId="100" xr:uid="{00000000-0005-0000-0000-000068000000}"/>
    <cellStyle name="표준 16 3" xfId="101" xr:uid="{00000000-0005-0000-0000-000069000000}"/>
    <cellStyle name="표준 16 3 2" xfId="102" xr:uid="{00000000-0005-0000-0000-00006A000000}"/>
    <cellStyle name="표준 16 3 2 2" xfId="103" xr:uid="{00000000-0005-0000-0000-00006B000000}"/>
    <cellStyle name="표준 16 3 3" xfId="104" xr:uid="{00000000-0005-0000-0000-00006C000000}"/>
    <cellStyle name="표준 16 4" xfId="105" xr:uid="{00000000-0005-0000-0000-00006D000000}"/>
    <cellStyle name="표준 16 4 2" xfId="106" xr:uid="{00000000-0005-0000-0000-00006E000000}"/>
    <cellStyle name="표준 16 5" xfId="107" xr:uid="{00000000-0005-0000-0000-00006F000000}"/>
    <cellStyle name="표준 17" xfId="108" xr:uid="{00000000-0005-0000-0000-000070000000}"/>
    <cellStyle name="표준 17 2" xfId="109" xr:uid="{00000000-0005-0000-0000-000071000000}"/>
    <cellStyle name="표준 17 2 2" xfId="110" xr:uid="{00000000-0005-0000-0000-000072000000}"/>
    <cellStyle name="표준 17 2 2 2" xfId="111" xr:uid="{00000000-0005-0000-0000-000073000000}"/>
    <cellStyle name="표준 17 2 3" xfId="112" xr:uid="{00000000-0005-0000-0000-000074000000}"/>
    <cellStyle name="표준 17 3" xfId="113" xr:uid="{00000000-0005-0000-0000-000075000000}"/>
    <cellStyle name="표준 17 3 2" xfId="114" xr:uid="{00000000-0005-0000-0000-000076000000}"/>
    <cellStyle name="표준 17 4" xfId="115" xr:uid="{00000000-0005-0000-0000-000077000000}"/>
    <cellStyle name="표준 18" xfId="116" xr:uid="{00000000-0005-0000-0000-000078000000}"/>
    <cellStyle name="표준 18 2" xfId="117" xr:uid="{00000000-0005-0000-0000-000079000000}"/>
    <cellStyle name="표준 18 2 2" xfId="118" xr:uid="{00000000-0005-0000-0000-00007A000000}"/>
    <cellStyle name="표준 18 3" xfId="119" xr:uid="{00000000-0005-0000-0000-00007B000000}"/>
    <cellStyle name="표준 18 3 2" xfId="120" xr:uid="{00000000-0005-0000-0000-00007C000000}"/>
    <cellStyle name="표준 18 3 3" xfId="870" xr:uid="{00000000-0005-0000-0000-00007D000000}"/>
    <cellStyle name="표준 18 4" xfId="121" xr:uid="{00000000-0005-0000-0000-00007E000000}"/>
    <cellStyle name="표준 19" xfId="122" xr:uid="{00000000-0005-0000-0000-00007F000000}"/>
    <cellStyle name="표준 19 2" xfId="871" xr:uid="{00000000-0005-0000-0000-000080000000}"/>
    <cellStyle name="표준 19 2 2" xfId="872" xr:uid="{00000000-0005-0000-0000-000081000000}"/>
    <cellStyle name="표준 19 3" xfId="873" xr:uid="{00000000-0005-0000-0000-000082000000}"/>
    <cellStyle name="표준 19 4" xfId="874" xr:uid="{00000000-0005-0000-0000-000083000000}"/>
    <cellStyle name="표준 2" xfId="123" xr:uid="{00000000-0005-0000-0000-000084000000}"/>
    <cellStyle name="표준 2 2" xfId="124" xr:uid="{00000000-0005-0000-0000-000085000000}"/>
    <cellStyle name="표준 2 3" xfId="125" xr:uid="{00000000-0005-0000-0000-000086000000}"/>
    <cellStyle name="표준 2 3 10" xfId="126" xr:uid="{00000000-0005-0000-0000-000087000000}"/>
    <cellStyle name="표준 2 3 10 2" xfId="127" xr:uid="{00000000-0005-0000-0000-000088000000}"/>
    <cellStyle name="표준 2 3 11" xfId="128" xr:uid="{00000000-0005-0000-0000-000089000000}"/>
    <cellStyle name="표준 2 3 12" xfId="129" xr:uid="{00000000-0005-0000-0000-00008A000000}"/>
    <cellStyle name="표준 2 3 2" xfId="130" xr:uid="{00000000-0005-0000-0000-00008B000000}"/>
    <cellStyle name="표준 2 3 2 2" xfId="131" xr:uid="{00000000-0005-0000-0000-00008C000000}"/>
    <cellStyle name="표준 2 3 2 2 2" xfId="132" xr:uid="{00000000-0005-0000-0000-00008D000000}"/>
    <cellStyle name="표준 2 3 2 2 2 2" xfId="133" xr:uid="{00000000-0005-0000-0000-00008E000000}"/>
    <cellStyle name="표준 2 3 2 2 3" xfId="134" xr:uid="{00000000-0005-0000-0000-00008F000000}"/>
    <cellStyle name="표준 2 3 2 3" xfId="135" xr:uid="{00000000-0005-0000-0000-000090000000}"/>
    <cellStyle name="표준 2 3 2 3 2" xfId="136" xr:uid="{00000000-0005-0000-0000-000091000000}"/>
    <cellStyle name="표준 2 3 2 3 2 2" xfId="137" xr:uid="{00000000-0005-0000-0000-000092000000}"/>
    <cellStyle name="표준 2 3 2 3 3" xfId="138" xr:uid="{00000000-0005-0000-0000-000093000000}"/>
    <cellStyle name="표준 2 3 2 4" xfId="139" xr:uid="{00000000-0005-0000-0000-000094000000}"/>
    <cellStyle name="표준 2 3 2 4 2" xfId="140" xr:uid="{00000000-0005-0000-0000-000095000000}"/>
    <cellStyle name="표준 2 3 2 4 2 2" xfId="141" xr:uid="{00000000-0005-0000-0000-000096000000}"/>
    <cellStyle name="표준 2 3 2 4 3" xfId="142" xr:uid="{00000000-0005-0000-0000-000097000000}"/>
    <cellStyle name="표준 2 3 2 5" xfId="143" xr:uid="{00000000-0005-0000-0000-000098000000}"/>
    <cellStyle name="표준 2 3 2 5 2" xfId="144" xr:uid="{00000000-0005-0000-0000-000099000000}"/>
    <cellStyle name="표준 2 3 2 6" xfId="145" xr:uid="{00000000-0005-0000-0000-00009A000000}"/>
    <cellStyle name="표준 2 3 3" xfId="146" xr:uid="{00000000-0005-0000-0000-00009B000000}"/>
    <cellStyle name="표준 2 3 3 2" xfId="147" xr:uid="{00000000-0005-0000-0000-00009C000000}"/>
    <cellStyle name="표준 2 3 3 2 2" xfId="148" xr:uid="{00000000-0005-0000-0000-00009D000000}"/>
    <cellStyle name="표준 2 3 3 2 2 2" xfId="149" xr:uid="{00000000-0005-0000-0000-00009E000000}"/>
    <cellStyle name="표준 2 3 3 2 3" xfId="150" xr:uid="{00000000-0005-0000-0000-00009F000000}"/>
    <cellStyle name="표준 2 3 3 3" xfId="151" xr:uid="{00000000-0005-0000-0000-0000A0000000}"/>
    <cellStyle name="표준 2 3 3 3 2" xfId="152" xr:uid="{00000000-0005-0000-0000-0000A1000000}"/>
    <cellStyle name="표준 2 3 3 4" xfId="153" xr:uid="{00000000-0005-0000-0000-0000A2000000}"/>
    <cellStyle name="표준 2 3 4" xfId="154" xr:uid="{00000000-0005-0000-0000-0000A3000000}"/>
    <cellStyle name="표준 2 3 4 2" xfId="155" xr:uid="{00000000-0005-0000-0000-0000A4000000}"/>
    <cellStyle name="표준 2 3 4 2 2" xfId="156" xr:uid="{00000000-0005-0000-0000-0000A5000000}"/>
    <cellStyle name="표준 2 3 4 2 2 2" xfId="157" xr:uid="{00000000-0005-0000-0000-0000A6000000}"/>
    <cellStyle name="표준 2 3 4 2 2 2 2" xfId="158" xr:uid="{00000000-0005-0000-0000-0000A7000000}"/>
    <cellStyle name="표준 2 3 4 2 2 3" xfId="159" xr:uid="{00000000-0005-0000-0000-0000A8000000}"/>
    <cellStyle name="표준 2 3 4 2 3" xfId="160" xr:uid="{00000000-0005-0000-0000-0000A9000000}"/>
    <cellStyle name="표준 2 3 4 2 3 2" xfId="161" xr:uid="{00000000-0005-0000-0000-0000AA000000}"/>
    <cellStyle name="표준 2 3 4 2 4" xfId="162" xr:uid="{00000000-0005-0000-0000-0000AB000000}"/>
    <cellStyle name="표준 2 3 4 3" xfId="163" xr:uid="{00000000-0005-0000-0000-0000AC000000}"/>
    <cellStyle name="표준 2 3 4 3 2" xfId="164" xr:uid="{00000000-0005-0000-0000-0000AD000000}"/>
    <cellStyle name="표준 2 3 4 3 2 2" xfId="165" xr:uid="{00000000-0005-0000-0000-0000AE000000}"/>
    <cellStyle name="표준 2 3 4 3 3" xfId="166" xr:uid="{00000000-0005-0000-0000-0000AF000000}"/>
    <cellStyle name="표준 2 3 4 4" xfId="167" xr:uid="{00000000-0005-0000-0000-0000B0000000}"/>
    <cellStyle name="표준 2 3 4 4 2" xfId="168" xr:uid="{00000000-0005-0000-0000-0000B1000000}"/>
    <cellStyle name="표준 2 3 4 5" xfId="169" xr:uid="{00000000-0005-0000-0000-0000B2000000}"/>
    <cellStyle name="표준 2 3 5" xfId="170" xr:uid="{00000000-0005-0000-0000-0000B3000000}"/>
    <cellStyle name="표준 2 3 5 2" xfId="171" xr:uid="{00000000-0005-0000-0000-0000B4000000}"/>
    <cellStyle name="표준 2 3 5 2 2" xfId="172" xr:uid="{00000000-0005-0000-0000-0000B5000000}"/>
    <cellStyle name="표준 2 3 5 2 2 2" xfId="173" xr:uid="{00000000-0005-0000-0000-0000B6000000}"/>
    <cellStyle name="표준 2 3 5 2 3" xfId="174" xr:uid="{00000000-0005-0000-0000-0000B7000000}"/>
    <cellStyle name="표준 2 3 5 3" xfId="175" xr:uid="{00000000-0005-0000-0000-0000B8000000}"/>
    <cellStyle name="표준 2 3 5 3 2" xfId="176" xr:uid="{00000000-0005-0000-0000-0000B9000000}"/>
    <cellStyle name="표준 2 3 5 4" xfId="177" xr:uid="{00000000-0005-0000-0000-0000BA000000}"/>
    <cellStyle name="표준 2 3 5 4 2" xfId="178" xr:uid="{00000000-0005-0000-0000-0000BB000000}"/>
    <cellStyle name="표준 2 3 5 4 3" xfId="179" xr:uid="{00000000-0005-0000-0000-0000BC000000}"/>
    <cellStyle name="표준 2 3 5 4 3 2" xfId="875" xr:uid="{00000000-0005-0000-0000-0000BD000000}"/>
    <cellStyle name="표준 2 3 5 4 4" xfId="876" xr:uid="{00000000-0005-0000-0000-0000BE000000}"/>
    <cellStyle name="표준 2 3 5 4 5" xfId="877" xr:uid="{00000000-0005-0000-0000-0000BF000000}"/>
    <cellStyle name="표준 2 3 5 5" xfId="180" xr:uid="{00000000-0005-0000-0000-0000C0000000}"/>
    <cellStyle name="표준 2 3 5 6" xfId="878" xr:uid="{00000000-0005-0000-0000-0000C1000000}"/>
    <cellStyle name="표준 2 3 6" xfId="181" xr:uid="{00000000-0005-0000-0000-0000C2000000}"/>
    <cellStyle name="표준 2 3 6 2" xfId="182" xr:uid="{00000000-0005-0000-0000-0000C3000000}"/>
    <cellStyle name="표준 2 3 6 2 2" xfId="183" xr:uid="{00000000-0005-0000-0000-0000C4000000}"/>
    <cellStyle name="표준 2 3 6 2 2 2" xfId="184" xr:uid="{00000000-0005-0000-0000-0000C5000000}"/>
    <cellStyle name="표준 2 3 6 2 3" xfId="185" xr:uid="{00000000-0005-0000-0000-0000C6000000}"/>
    <cellStyle name="표준 2 3 6 3" xfId="186" xr:uid="{00000000-0005-0000-0000-0000C7000000}"/>
    <cellStyle name="표준 2 3 6 3 2" xfId="187" xr:uid="{00000000-0005-0000-0000-0000C8000000}"/>
    <cellStyle name="표준 2 3 6 4" xfId="188" xr:uid="{00000000-0005-0000-0000-0000C9000000}"/>
    <cellStyle name="표준 2 3 7" xfId="189" xr:uid="{00000000-0005-0000-0000-0000CA000000}"/>
    <cellStyle name="표준 2 3 7 2" xfId="190" xr:uid="{00000000-0005-0000-0000-0000CB000000}"/>
    <cellStyle name="표준 2 3 7 2 2" xfId="191" xr:uid="{00000000-0005-0000-0000-0000CC000000}"/>
    <cellStyle name="표준 2 3 7 2 2 2" xfId="192" xr:uid="{00000000-0005-0000-0000-0000CD000000}"/>
    <cellStyle name="표준 2 3 7 2 3" xfId="193" xr:uid="{00000000-0005-0000-0000-0000CE000000}"/>
    <cellStyle name="표준 2 3 7 3" xfId="194" xr:uid="{00000000-0005-0000-0000-0000CF000000}"/>
    <cellStyle name="표준 2 3 7 3 2" xfId="195" xr:uid="{00000000-0005-0000-0000-0000D0000000}"/>
    <cellStyle name="표준 2 3 7 4" xfId="196" xr:uid="{00000000-0005-0000-0000-0000D1000000}"/>
    <cellStyle name="표준 2 3 7 5" xfId="879" xr:uid="{00000000-0005-0000-0000-0000D2000000}"/>
    <cellStyle name="표준 2 3 8" xfId="197" xr:uid="{00000000-0005-0000-0000-0000D3000000}"/>
    <cellStyle name="표준 2 3 8 2" xfId="198" xr:uid="{00000000-0005-0000-0000-0000D4000000}"/>
    <cellStyle name="표준 2 3 8 2 2" xfId="199" xr:uid="{00000000-0005-0000-0000-0000D5000000}"/>
    <cellStyle name="표준 2 3 8 2 2 2" xfId="200" xr:uid="{00000000-0005-0000-0000-0000D6000000}"/>
    <cellStyle name="표준 2 3 8 2 3" xfId="201" xr:uid="{00000000-0005-0000-0000-0000D7000000}"/>
    <cellStyle name="표준 2 3 8 3" xfId="202" xr:uid="{00000000-0005-0000-0000-0000D8000000}"/>
    <cellStyle name="표준 2 3 8 3 2" xfId="203" xr:uid="{00000000-0005-0000-0000-0000D9000000}"/>
    <cellStyle name="표준 2 3 8 4" xfId="204" xr:uid="{00000000-0005-0000-0000-0000DA000000}"/>
    <cellStyle name="표준 2 3 9" xfId="205" xr:uid="{00000000-0005-0000-0000-0000DB000000}"/>
    <cellStyle name="표준 2 3 9 2" xfId="206" xr:uid="{00000000-0005-0000-0000-0000DC000000}"/>
    <cellStyle name="표준 2 3 9 2 2" xfId="207" xr:uid="{00000000-0005-0000-0000-0000DD000000}"/>
    <cellStyle name="표준 2 3 9 3" xfId="208" xr:uid="{00000000-0005-0000-0000-0000DE000000}"/>
    <cellStyle name="표준 2 3 9 3 2" xfId="209" xr:uid="{00000000-0005-0000-0000-0000DF000000}"/>
    <cellStyle name="표준 2 3 9 3 3" xfId="210" xr:uid="{00000000-0005-0000-0000-0000E0000000}"/>
    <cellStyle name="표준 2 3 9 3 4" xfId="880" xr:uid="{00000000-0005-0000-0000-0000E1000000}"/>
    <cellStyle name="표준 2 3 9 3 5" xfId="881" xr:uid="{00000000-0005-0000-0000-0000E2000000}"/>
    <cellStyle name="표준 2 3 9 4" xfId="211" xr:uid="{00000000-0005-0000-0000-0000E3000000}"/>
    <cellStyle name="표준 2 4" xfId="212" xr:uid="{00000000-0005-0000-0000-0000E4000000}"/>
    <cellStyle name="표준 2 5" xfId="213" xr:uid="{00000000-0005-0000-0000-0000E5000000}"/>
    <cellStyle name="표준 2 5 2" xfId="214" xr:uid="{00000000-0005-0000-0000-0000E6000000}"/>
    <cellStyle name="표준 2 5 2 2" xfId="215" xr:uid="{00000000-0005-0000-0000-0000E7000000}"/>
    <cellStyle name="표준 2 5 3" xfId="216" xr:uid="{00000000-0005-0000-0000-0000E8000000}"/>
    <cellStyle name="표준 2 6" xfId="217" xr:uid="{00000000-0005-0000-0000-0000E9000000}"/>
    <cellStyle name="표준 2 6 2" xfId="218" xr:uid="{00000000-0005-0000-0000-0000EA000000}"/>
    <cellStyle name="표준 2 7" xfId="219" xr:uid="{00000000-0005-0000-0000-0000EB000000}"/>
    <cellStyle name="표준 20" xfId="882" xr:uid="{00000000-0005-0000-0000-0000EC000000}"/>
    <cellStyle name="표준 21" xfId="883" xr:uid="{00000000-0005-0000-0000-0000ED000000}"/>
    <cellStyle name="표준 22" xfId="884" xr:uid="{00000000-0005-0000-0000-0000EE000000}"/>
    <cellStyle name="표준 3" xfId="220" xr:uid="{00000000-0005-0000-0000-0000EF000000}"/>
    <cellStyle name="표준 3 10" xfId="885" xr:uid="{00000000-0005-0000-0000-0000F0000000}"/>
    <cellStyle name="표준 3 11" xfId="886" xr:uid="{00000000-0005-0000-0000-0000F1000000}"/>
    <cellStyle name="표준 3 12" xfId="887" xr:uid="{00000000-0005-0000-0000-0000F2000000}"/>
    <cellStyle name="표준 3 2" xfId="221" xr:uid="{00000000-0005-0000-0000-0000F3000000}"/>
    <cellStyle name="표준 3 2 2" xfId="222" xr:uid="{00000000-0005-0000-0000-0000F4000000}"/>
    <cellStyle name="표준 3 2 2 2" xfId="223" xr:uid="{00000000-0005-0000-0000-0000F5000000}"/>
    <cellStyle name="표준 3 2 2 2 2" xfId="224" xr:uid="{00000000-0005-0000-0000-0000F6000000}"/>
    <cellStyle name="표준 3 2 2 2 2 2" xfId="225" xr:uid="{00000000-0005-0000-0000-0000F7000000}"/>
    <cellStyle name="표준 3 2 2 2 2 2 2" xfId="226" xr:uid="{00000000-0005-0000-0000-0000F8000000}"/>
    <cellStyle name="표준 3 2 2 2 2 3" xfId="227" xr:uid="{00000000-0005-0000-0000-0000F9000000}"/>
    <cellStyle name="표준 3 2 2 2 3" xfId="228" xr:uid="{00000000-0005-0000-0000-0000FA000000}"/>
    <cellStyle name="표준 3 2 2 2 3 2" xfId="229" xr:uid="{00000000-0005-0000-0000-0000FB000000}"/>
    <cellStyle name="표준 3 2 2 2 4" xfId="230" xr:uid="{00000000-0005-0000-0000-0000FC000000}"/>
    <cellStyle name="표준 3 2 2 3" xfId="231" xr:uid="{00000000-0005-0000-0000-0000FD000000}"/>
    <cellStyle name="표준 3 2 2 3 2" xfId="232" xr:uid="{00000000-0005-0000-0000-0000FE000000}"/>
    <cellStyle name="표준 3 2 2 3 2 2" xfId="233" xr:uid="{00000000-0005-0000-0000-0000FF000000}"/>
    <cellStyle name="표준 3 2 2 3 3" xfId="234" xr:uid="{00000000-0005-0000-0000-000000010000}"/>
    <cellStyle name="표준 3 2 2 4" xfId="235" xr:uid="{00000000-0005-0000-0000-000001010000}"/>
    <cellStyle name="표준 3 2 2 4 2" xfId="236" xr:uid="{00000000-0005-0000-0000-000002010000}"/>
    <cellStyle name="표준 3 2 2 5" xfId="237" xr:uid="{00000000-0005-0000-0000-000003010000}"/>
    <cellStyle name="표준 3 2 3" xfId="238" xr:uid="{00000000-0005-0000-0000-000004010000}"/>
    <cellStyle name="표준 3 2 3 2" xfId="239" xr:uid="{00000000-0005-0000-0000-000005010000}"/>
    <cellStyle name="표준 3 2 3 2 2" xfId="240" xr:uid="{00000000-0005-0000-0000-000006010000}"/>
    <cellStyle name="표준 3 2 3 2 2 2" xfId="241" xr:uid="{00000000-0005-0000-0000-000007010000}"/>
    <cellStyle name="표준 3 2 3 2 3" xfId="242" xr:uid="{00000000-0005-0000-0000-000008010000}"/>
    <cellStyle name="표준 3 2 3 3" xfId="243" xr:uid="{00000000-0005-0000-0000-000009010000}"/>
    <cellStyle name="표준 3 2 3 3 2" xfId="244" xr:uid="{00000000-0005-0000-0000-00000A010000}"/>
    <cellStyle name="표준 3 2 3 4" xfId="245" xr:uid="{00000000-0005-0000-0000-00000B010000}"/>
    <cellStyle name="표준 3 2 4" xfId="246" xr:uid="{00000000-0005-0000-0000-00000C010000}"/>
    <cellStyle name="표준 3 2 4 2" xfId="247" xr:uid="{00000000-0005-0000-0000-00000D010000}"/>
    <cellStyle name="표준 3 2 4 2 2" xfId="248" xr:uid="{00000000-0005-0000-0000-00000E010000}"/>
    <cellStyle name="표준 3 2 4 2 2 2" xfId="249" xr:uid="{00000000-0005-0000-0000-00000F010000}"/>
    <cellStyle name="표준 3 2 4 2 3" xfId="250" xr:uid="{00000000-0005-0000-0000-000010010000}"/>
    <cellStyle name="표준 3 2 4 3" xfId="251" xr:uid="{00000000-0005-0000-0000-000011010000}"/>
    <cellStyle name="표준 3 2 4 3 2" xfId="252" xr:uid="{00000000-0005-0000-0000-000012010000}"/>
    <cellStyle name="표준 3 2 4 4" xfId="253" xr:uid="{00000000-0005-0000-0000-000013010000}"/>
    <cellStyle name="표준 3 2 5" xfId="254" xr:uid="{00000000-0005-0000-0000-000014010000}"/>
    <cellStyle name="표준 3 2 5 2" xfId="255" xr:uid="{00000000-0005-0000-0000-000015010000}"/>
    <cellStyle name="표준 3 2 5 2 2" xfId="256" xr:uid="{00000000-0005-0000-0000-000016010000}"/>
    <cellStyle name="표준 3 2 5 2 2 2" xfId="257" xr:uid="{00000000-0005-0000-0000-000017010000}"/>
    <cellStyle name="표준 3 2 5 2 3" xfId="258" xr:uid="{00000000-0005-0000-0000-000018010000}"/>
    <cellStyle name="표준 3 2 5 3" xfId="259" xr:uid="{00000000-0005-0000-0000-000019010000}"/>
    <cellStyle name="표준 3 2 5 3 2" xfId="260" xr:uid="{00000000-0005-0000-0000-00001A010000}"/>
    <cellStyle name="표준 3 2 5 4" xfId="261" xr:uid="{00000000-0005-0000-0000-00001B010000}"/>
    <cellStyle name="표준 3 2 6" xfId="262" xr:uid="{00000000-0005-0000-0000-00001C010000}"/>
    <cellStyle name="표준 3 2 6 2" xfId="263" xr:uid="{00000000-0005-0000-0000-00001D010000}"/>
    <cellStyle name="표준 3 2 6 2 2" xfId="264" xr:uid="{00000000-0005-0000-0000-00001E010000}"/>
    <cellStyle name="표준 3 2 6 2 2 2" xfId="265" xr:uid="{00000000-0005-0000-0000-00001F010000}"/>
    <cellStyle name="표준 3 2 6 2 3" xfId="266" xr:uid="{00000000-0005-0000-0000-000020010000}"/>
    <cellStyle name="표준 3 2 6 3" xfId="267" xr:uid="{00000000-0005-0000-0000-000021010000}"/>
    <cellStyle name="표준 3 2 6 3 2" xfId="268" xr:uid="{00000000-0005-0000-0000-000022010000}"/>
    <cellStyle name="표준 3 2 6 4" xfId="269" xr:uid="{00000000-0005-0000-0000-000023010000}"/>
    <cellStyle name="표준 3 2 7" xfId="270" xr:uid="{00000000-0005-0000-0000-000024010000}"/>
    <cellStyle name="표준 3 2 7 2" xfId="271" xr:uid="{00000000-0005-0000-0000-000025010000}"/>
    <cellStyle name="표준 3 2 7 2 2" xfId="272" xr:uid="{00000000-0005-0000-0000-000026010000}"/>
    <cellStyle name="표준 3 2 7 3" xfId="273" xr:uid="{00000000-0005-0000-0000-000027010000}"/>
    <cellStyle name="표준 3 2 8" xfId="274" xr:uid="{00000000-0005-0000-0000-000028010000}"/>
    <cellStyle name="표준 3 2 8 2" xfId="275" xr:uid="{00000000-0005-0000-0000-000029010000}"/>
    <cellStyle name="표준 3 2 9" xfId="276" xr:uid="{00000000-0005-0000-0000-00002A010000}"/>
    <cellStyle name="표준 3 3" xfId="277" xr:uid="{00000000-0005-0000-0000-00002B010000}"/>
    <cellStyle name="표준 3 3 10" xfId="278" xr:uid="{00000000-0005-0000-0000-00002C010000}"/>
    <cellStyle name="표준 3 3 2" xfId="279" xr:uid="{00000000-0005-0000-0000-00002D010000}"/>
    <cellStyle name="표준 3 3 2 2" xfId="280" xr:uid="{00000000-0005-0000-0000-00002E010000}"/>
    <cellStyle name="표준 3 3 2 2 2" xfId="281" xr:uid="{00000000-0005-0000-0000-00002F010000}"/>
    <cellStyle name="표준 3 3 2 2 2 2" xfId="282" xr:uid="{00000000-0005-0000-0000-000030010000}"/>
    <cellStyle name="표준 3 3 2 2 2 2 2" xfId="283" xr:uid="{00000000-0005-0000-0000-000031010000}"/>
    <cellStyle name="표준 3 3 2 2 2 3" xfId="284" xr:uid="{00000000-0005-0000-0000-000032010000}"/>
    <cellStyle name="표준 3 3 2 2 3" xfId="285" xr:uid="{00000000-0005-0000-0000-000033010000}"/>
    <cellStyle name="표준 3 3 2 2 3 2" xfId="286" xr:uid="{00000000-0005-0000-0000-000034010000}"/>
    <cellStyle name="표준 3 3 2 2 3 2 2" xfId="287" xr:uid="{00000000-0005-0000-0000-000035010000}"/>
    <cellStyle name="표준 3 3 2 2 3 3" xfId="288" xr:uid="{00000000-0005-0000-0000-000036010000}"/>
    <cellStyle name="표준 3 3 2 2 4" xfId="289" xr:uid="{00000000-0005-0000-0000-000037010000}"/>
    <cellStyle name="표준 3 3 2 2 4 2" xfId="290" xr:uid="{00000000-0005-0000-0000-000038010000}"/>
    <cellStyle name="표준 3 3 2 2 5" xfId="291" xr:uid="{00000000-0005-0000-0000-000039010000}"/>
    <cellStyle name="표준 3 3 2 3" xfId="292" xr:uid="{00000000-0005-0000-0000-00003A010000}"/>
    <cellStyle name="표준 3 3 2 3 2" xfId="293" xr:uid="{00000000-0005-0000-0000-00003B010000}"/>
    <cellStyle name="표준 3 3 2 3 2 2" xfId="294" xr:uid="{00000000-0005-0000-0000-00003C010000}"/>
    <cellStyle name="표준 3 3 2 3 3" xfId="295" xr:uid="{00000000-0005-0000-0000-00003D010000}"/>
    <cellStyle name="표준 3 3 2 4" xfId="296" xr:uid="{00000000-0005-0000-0000-00003E010000}"/>
    <cellStyle name="표준 3 3 2 4 2" xfId="297" xr:uid="{00000000-0005-0000-0000-00003F010000}"/>
    <cellStyle name="표준 3 3 2 4 2 2" xfId="298" xr:uid="{00000000-0005-0000-0000-000040010000}"/>
    <cellStyle name="표준 3 3 2 4 3" xfId="299" xr:uid="{00000000-0005-0000-0000-000041010000}"/>
    <cellStyle name="표준 3 3 2 5" xfId="300" xr:uid="{00000000-0005-0000-0000-000042010000}"/>
    <cellStyle name="표준 3 3 2 5 2" xfId="301" xr:uid="{00000000-0005-0000-0000-000043010000}"/>
    <cellStyle name="표준 3 3 2 6" xfId="302" xr:uid="{00000000-0005-0000-0000-000044010000}"/>
    <cellStyle name="표준 3 3 3" xfId="303" xr:uid="{00000000-0005-0000-0000-000045010000}"/>
    <cellStyle name="표준 3 3 3 2" xfId="304" xr:uid="{00000000-0005-0000-0000-000046010000}"/>
    <cellStyle name="표준 3 3 3 2 2" xfId="305" xr:uid="{00000000-0005-0000-0000-000047010000}"/>
    <cellStyle name="표준 3 3 3 2 2 2" xfId="306" xr:uid="{00000000-0005-0000-0000-000048010000}"/>
    <cellStyle name="표준 3 3 3 2 2 2 2" xfId="307" xr:uid="{00000000-0005-0000-0000-000049010000}"/>
    <cellStyle name="표준 3 3 3 2 2 3" xfId="308" xr:uid="{00000000-0005-0000-0000-00004A010000}"/>
    <cellStyle name="표준 3 3 3 2 3" xfId="309" xr:uid="{00000000-0005-0000-0000-00004B010000}"/>
    <cellStyle name="표준 3 3 3 2 3 2" xfId="310" xr:uid="{00000000-0005-0000-0000-00004C010000}"/>
    <cellStyle name="표준 3 3 3 2 4" xfId="311" xr:uid="{00000000-0005-0000-0000-00004D010000}"/>
    <cellStyle name="표준 3 3 3 3" xfId="312" xr:uid="{00000000-0005-0000-0000-00004E010000}"/>
    <cellStyle name="표준 3 3 3 3 2" xfId="313" xr:uid="{00000000-0005-0000-0000-00004F010000}"/>
    <cellStyle name="표준 3 3 3 3 2 2" xfId="314" xr:uid="{00000000-0005-0000-0000-000050010000}"/>
    <cellStyle name="표준 3 3 3 3 2 2 2" xfId="315" xr:uid="{00000000-0005-0000-0000-000051010000}"/>
    <cellStyle name="표준 3 3 3 3 2 3" xfId="316" xr:uid="{00000000-0005-0000-0000-000052010000}"/>
    <cellStyle name="표준 3 3 3 3 3" xfId="317" xr:uid="{00000000-0005-0000-0000-000053010000}"/>
    <cellStyle name="표준 3 3 3 3 3 2" xfId="318" xr:uid="{00000000-0005-0000-0000-000054010000}"/>
    <cellStyle name="표준 3 3 3 3 4" xfId="319" xr:uid="{00000000-0005-0000-0000-000055010000}"/>
    <cellStyle name="표준 3 3 3 4" xfId="320" xr:uid="{00000000-0005-0000-0000-000056010000}"/>
    <cellStyle name="표준 3 3 3 4 2" xfId="321" xr:uid="{00000000-0005-0000-0000-000057010000}"/>
    <cellStyle name="표준 3 3 3 4 2 2" xfId="322" xr:uid="{00000000-0005-0000-0000-000058010000}"/>
    <cellStyle name="표준 3 3 3 4 3" xfId="323" xr:uid="{00000000-0005-0000-0000-000059010000}"/>
    <cellStyle name="표준 3 3 3 5" xfId="324" xr:uid="{00000000-0005-0000-0000-00005A010000}"/>
    <cellStyle name="표준 3 3 3 5 2" xfId="325" xr:uid="{00000000-0005-0000-0000-00005B010000}"/>
    <cellStyle name="표준 3 3 3 6" xfId="326" xr:uid="{00000000-0005-0000-0000-00005C010000}"/>
    <cellStyle name="표준 3 3 4" xfId="327" xr:uid="{00000000-0005-0000-0000-00005D010000}"/>
    <cellStyle name="표준 3 3 4 2" xfId="328" xr:uid="{00000000-0005-0000-0000-00005E010000}"/>
    <cellStyle name="표준 3 3 4 2 2" xfId="329" xr:uid="{00000000-0005-0000-0000-00005F010000}"/>
    <cellStyle name="표준 3 3 4 2 2 2" xfId="330" xr:uid="{00000000-0005-0000-0000-000060010000}"/>
    <cellStyle name="표준 3 3 4 2 2 2 2" xfId="331" xr:uid="{00000000-0005-0000-0000-000061010000}"/>
    <cellStyle name="표준 3 3 4 2 2 2 2 2" xfId="332" xr:uid="{00000000-0005-0000-0000-000062010000}"/>
    <cellStyle name="표준 3 3 4 2 2 2 3" xfId="333" xr:uid="{00000000-0005-0000-0000-000063010000}"/>
    <cellStyle name="표준 3 3 4 2 2 3" xfId="334" xr:uid="{00000000-0005-0000-0000-000064010000}"/>
    <cellStyle name="표준 3 3 4 2 2 3 2" xfId="335" xr:uid="{00000000-0005-0000-0000-000065010000}"/>
    <cellStyle name="표준 3 3 4 2 2 4" xfId="336" xr:uid="{00000000-0005-0000-0000-000066010000}"/>
    <cellStyle name="표준 3 3 4 2 3" xfId="337" xr:uid="{00000000-0005-0000-0000-000067010000}"/>
    <cellStyle name="표준 3 3 4 2 3 2" xfId="338" xr:uid="{00000000-0005-0000-0000-000068010000}"/>
    <cellStyle name="표준 3 3 4 2 3 2 2" xfId="339" xr:uid="{00000000-0005-0000-0000-000069010000}"/>
    <cellStyle name="표준 3 3 4 2 3 2 2 2" xfId="340" xr:uid="{00000000-0005-0000-0000-00006A010000}"/>
    <cellStyle name="표준 3 3 4 2 3 2 3" xfId="341" xr:uid="{00000000-0005-0000-0000-00006B010000}"/>
    <cellStyle name="표준 3 3 4 2 3 3" xfId="342" xr:uid="{00000000-0005-0000-0000-00006C010000}"/>
    <cellStyle name="표준 3 3 4 2 3 3 2" xfId="343" xr:uid="{00000000-0005-0000-0000-00006D010000}"/>
    <cellStyle name="표준 3 3 4 2 3 4" xfId="344" xr:uid="{00000000-0005-0000-0000-00006E010000}"/>
    <cellStyle name="표준 3 3 4 2 4" xfId="345" xr:uid="{00000000-0005-0000-0000-00006F010000}"/>
    <cellStyle name="표준 3 3 4 2 4 2" xfId="346" xr:uid="{00000000-0005-0000-0000-000070010000}"/>
    <cellStyle name="표준 3 3 4 2 4 2 2" xfId="347" xr:uid="{00000000-0005-0000-0000-000071010000}"/>
    <cellStyle name="표준 3 3 4 2 4 2 2 2" xfId="348" xr:uid="{00000000-0005-0000-0000-000072010000}"/>
    <cellStyle name="표준 3 3 4 2 4 2 3" xfId="349" xr:uid="{00000000-0005-0000-0000-000073010000}"/>
    <cellStyle name="표준 3 3 4 2 4 3" xfId="350" xr:uid="{00000000-0005-0000-0000-000074010000}"/>
    <cellStyle name="표준 3 3 4 2 4 3 2" xfId="351" xr:uid="{00000000-0005-0000-0000-000075010000}"/>
    <cellStyle name="표준 3 3 4 2 4 4" xfId="352" xr:uid="{00000000-0005-0000-0000-000076010000}"/>
    <cellStyle name="표준 3 3 4 2 5" xfId="353" xr:uid="{00000000-0005-0000-0000-000077010000}"/>
    <cellStyle name="표준 3 3 4 2 5 2" xfId="354" xr:uid="{00000000-0005-0000-0000-000078010000}"/>
    <cellStyle name="표준 3 3 4 2 5 2 2" xfId="355" xr:uid="{00000000-0005-0000-0000-000079010000}"/>
    <cellStyle name="표준 3 3 4 2 5 2 2 2" xfId="356" xr:uid="{00000000-0005-0000-0000-00007A010000}"/>
    <cellStyle name="표준 3 3 4 2 5 2 2 2 2" xfId="357" xr:uid="{00000000-0005-0000-0000-00007B010000}"/>
    <cellStyle name="표준 3 3 4 2 5 2 2 3" xfId="358" xr:uid="{00000000-0005-0000-0000-00007C010000}"/>
    <cellStyle name="표준 3 3 4 2 5 2 3" xfId="359" xr:uid="{00000000-0005-0000-0000-00007D010000}"/>
    <cellStyle name="표준 3 3 4 2 5 2 3 2" xfId="360" xr:uid="{00000000-0005-0000-0000-00007E010000}"/>
    <cellStyle name="표준 3 3 4 2 5 2 4" xfId="361" xr:uid="{00000000-0005-0000-0000-00007F010000}"/>
    <cellStyle name="표준 3 3 4 2 5 3" xfId="362" xr:uid="{00000000-0005-0000-0000-000080010000}"/>
    <cellStyle name="표준 3 3 4 2 5 3 2" xfId="363" xr:uid="{00000000-0005-0000-0000-000081010000}"/>
    <cellStyle name="표준 3 3 4 2 5 3 2 2" xfId="364" xr:uid="{00000000-0005-0000-0000-000082010000}"/>
    <cellStyle name="표준 3 3 4 2 5 3 3" xfId="365" xr:uid="{00000000-0005-0000-0000-000083010000}"/>
    <cellStyle name="표준 3 3 4 2 5 4" xfId="366" xr:uid="{00000000-0005-0000-0000-000084010000}"/>
    <cellStyle name="표준 3 3 4 2 5 4 2" xfId="367" xr:uid="{00000000-0005-0000-0000-000085010000}"/>
    <cellStyle name="표준 3 3 4 2 5 5" xfId="368" xr:uid="{00000000-0005-0000-0000-000086010000}"/>
    <cellStyle name="표준 3 3 4 2 6" xfId="369" xr:uid="{00000000-0005-0000-0000-000087010000}"/>
    <cellStyle name="표준 3 3 4 2 6 2" xfId="370" xr:uid="{00000000-0005-0000-0000-000088010000}"/>
    <cellStyle name="표준 3 3 4 2 6 2 2" xfId="371" xr:uid="{00000000-0005-0000-0000-000089010000}"/>
    <cellStyle name="표준 3 3 4 2 6 3" xfId="372" xr:uid="{00000000-0005-0000-0000-00008A010000}"/>
    <cellStyle name="표준 3 3 4 2 7" xfId="373" xr:uid="{00000000-0005-0000-0000-00008B010000}"/>
    <cellStyle name="표준 3 3 4 2 7 2" xfId="374" xr:uid="{00000000-0005-0000-0000-00008C010000}"/>
    <cellStyle name="표준 3 3 4 2 8" xfId="375" xr:uid="{00000000-0005-0000-0000-00008D010000}"/>
    <cellStyle name="표준 3 3 4 3" xfId="376" xr:uid="{00000000-0005-0000-0000-00008E010000}"/>
    <cellStyle name="표준 3 3 4 3 2" xfId="377" xr:uid="{00000000-0005-0000-0000-00008F010000}"/>
    <cellStyle name="표준 3 3 4 3 2 2" xfId="378" xr:uid="{00000000-0005-0000-0000-000090010000}"/>
    <cellStyle name="표준 3 3 4 3 2 2 2" xfId="379" xr:uid="{00000000-0005-0000-0000-000091010000}"/>
    <cellStyle name="표준 3 3 4 3 2 3" xfId="380" xr:uid="{00000000-0005-0000-0000-000092010000}"/>
    <cellStyle name="표준 3 3 4 3 3" xfId="381" xr:uid="{00000000-0005-0000-0000-000093010000}"/>
    <cellStyle name="표준 3 3 4 3 3 2" xfId="382" xr:uid="{00000000-0005-0000-0000-000094010000}"/>
    <cellStyle name="표준 3 3 4 3 4" xfId="383" xr:uid="{00000000-0005-0000-0000-000095010000}"/>
    <cellStyle name="표준 3 3 4 4" xfId="384" xr:uid="{00000000-0005-0000-0000-000096010000}"/>
    <cellStyle name="표준 3 3 4 4 2" xfId="385" xr:uid="{00000000-0005-0000-0000-000097010000}"/>
    <cellStyle name="표준 3 3 4 4 2 2" xfId="386" xr:uid="{00000000-0005-0000-0000-000098010000}"/>
    <cellStyle name="표준 3 3 4 4 2 2 2" xfId="387" xr:uid="{00000000-0005-0000-0000-000099010000}"/>
    <cellStyle name="표준 3 3 4 4 2 3" xfId="388" xr:uid="{00000000-0005-0000-0000-00009A010000}"/>
    <cellStyle name="표준 3 3 4 4 3" xfId="389" xr:uid="{00000000-0005-0000-0000-00009B010000}"/>
    <cellStyle name="표준 3 3 4 4 3 2" xfId="390" xr:uid="{00000000-0005-0000-0000-00009C010000}"/>
    <cellStyle name="표준 3 3 4 4 4" xfId="391" xr:uid="{00000000-0005-0000-0000-00009D010000}"/>
    <cellStyle name="표준 3 3 4 5" xfId="392" xr:uid="{00000000-0005-0000-0000-00009E010000}"/>
    <cellStyle name="표준 3 3 4 5 2" xfId="393" xr:uid="{00000000-0005-0000-0000-00009F010000}"/>
    <cellStyle name="표준 3 3 4 5 2 2" xfId="394" xr:uid="{00000000-0005-0000-0000-0000A0010000}"/>
    <cellStyle name="표준 3 3 4 5 3" xfId="395" xr:uid="{00000000-0005-0000-0000-0000A1010000}"/>
    <cellStyle name="표준 3 3 4 6" xfId="396" xr:uid="{00000000-0005-0000-0000-0000A2010000}"/>
    <cellStyle name="표준 3 3 4 6 2" xfId="397" xr:uid="{00000000-0005-0000-0000-0000A3010000}"/>
    <cellStyle name="표준 3 3 4 7" xfId="398" xr:uid="{00000000-0005-0000-0000-0000A4010000}"/>
    <cellStyle name="표준 3 3 5" xfId="399" xr:uid="{00000000-0005-0000-0000-0000A5010000}"/>
    <cellStyle name="표준 3 3 5 2" xfId="400" xr:uid="{00000000-0005-0000-0000-0000A6010000}"/>
    <cellStyle name="표준 3 3 5 2 2" xfId="401" xr:uid="{00000000-0005-0000-0000-0000A7010000}"/>
    <cellStyle name="표준 3 3 5 2 2 2" xfId="402" xr:uid="{00000000-0005-0000-0000-0000A8010000}"/>
    <cellStyle name="표준 3 3 5 2 3" xfId="403" xr:uid="{00000000-0005-0000-0000-0000A9010000}"/>
    <cellStyle name="표준 3 3 5 3" xfId="404" xr:uid="{00000000-0005-0000-0000-0000AA010000}"/>
    <cellStyle name="표준 3 3 5 3 2" xfId="405" xr:uid="{00000000-0005-0000-0000-0000AB010000}"/>
    <cellStyle name="표준 3 3 5 4" xfId="406" xr:uid="{00000000-0005-0000-0000-0000AC010000}"/>
    <cellStyle name="표준 3 3 6" xfId="407" xr:uid="{00000000-0005-0000-0000-0000AD010000}"/>
    <cellStyle name="표준 3 3 6 2" xfId="408" xr:uid="{00000000-0005-0000-0000-0000AE010000}"/>
    <cellStyle name="표준 3 3 6 2 2" xfId="409" xr:uid="{00000000-0005-0000-0000-0000AF010000}"/>
    <cellStyle name="표준 3 3 6 2 2 2" xfId="410" xr:uid="{00000000-0005-0000-0000-0000B0010000}"/>
    <cellStyle name="표준 3 3 6 2 3" xfId="411" xr:uid="{00000000-0005-0000-0000-0000B1010000}"/>
    <cellStyle name="표준 3 3 6 3" xfId="412" xr:uid="{00000000-0005-0000-0000-0000B2010000}"/>
    <cellStyle name="표준 3 3 6 3 2" xfId="413" xr:uid="{00000000-0005-0000-0000-0000B3010000}"/>
    <cellStyle name="표준 3 3 6 4" xfId="414" xr:uid="{00000000-0005-0000-0000-0000B4010000}"/>
    <cellStyle name="표준 3 3 7" xfId="415" xr:uid="{00000000-0005-0000-0000-0000B5010000}"/>
    <cellStyle name="표준 3 3 7 2" xfId="416" xr:uid="{00000000-0005-0000-0000-0000B6010000}"/>
    <cellStyle name="표준 3 3 7 2 2" xfId="417" xr:uid="{00000000-0005-0000-0000-0000B7010000}"/>
    <cellStyle name="표준 3 3 7 2 2 2" xfId="418" xr:uid="{00000000-0005-0000-0000-0000B8010000}"/>
    <cellStyle name="표준 3 3 7 2 3" xfId="419" xr:uid="{00000000-0005-0000-0000-0000B9010000}"/>
    <cellStyle name="표준 3 3 7 3" xfId="420" xr:uid="{00000000-0005-0000-0000-0000BA010000}"/>
    <cellStyle name="표준 3 3 7 3 2" xfId="421" xr:uid="{00000000-0005-0000-0000-0000BB010000}"/>
    <cellStyle name="표준 3 3 7 4" xfId="422" xr:uid="{00000000-0005-0000-0000-0000BC010000}"/>
    <cellStyle name="표준 3 3 8" xfId="423" xr:uid="{00000000-0005-0000-0000-0000BD010000}"/>
    <cellStyle name="표준 3 3 8 2" xfId="424" xr:uid="{00000000-0005-0000-0000-0000BE010000}"/>
    <cellStyle name="표준 3 3 8 2 2" xfId="425" xr:uid="{00000000-0005-0000-0000-0000BF010000}"/>
    <cellStyle name="표준 3 3 8 3" xfId="426" xr:uid="{00000000-0005-0000-0000-0000C0010000}"/>
    <cellStyle name="표준 3 3 9" xfId="427" xr:uid="{00000000-0005-0000-0000-0000C1010000}"/>
    <cellStyle name="표준 3 3 9 2" xfId="428" xr:uid="{00000000-0005-0000-0000-0000C2010000}"/>
    <cellStyle name="표준 3 4" xfId="429" xr:uid="{00000000-0005-0000-0000-0000C3010000}"/>
    <cellStyle name="표준 3 4 2" xfId="430" xr:uid="{00000000-0005-0000-0000-0000C4010000}"/>
    <cellStyle name="표준 3 4 2 2" xfId="431" xr:uid="{00000000-0005-0000-0000-0000C5010000}"/>
    <cellStyle name="표준 3 4 2 2 2" xfId="432" xr:uid="{00000000-0005-0000-0000-0000C6010000}"/>
    <cellStyle name="표준 3 4 2 2 2 2" xfId="433" xr:uid="{00000000-0005-0000-0000-0000C7010000}"/>
    <cellStyle name="표준 3 4 2 2 2 2 2" xfId="434" xr:uid="{00000000-0005-0000-0000-0000C8010000}"/>
    <cellStyle name="표준 3 4 2 2 2 3" xfId="435" xr:uid="{00000000-0005-0000-0000-0000C9010000}"/>
    <cellStyle name="표준 3 4 2 2 3" xfId="436" xr:uid="{00000000-0005-0000-0000-0000CA010000}"/>
    <cellStyle name="표준 3 4 2 2 3 2" xfId="437" xr:uid="{00000000-0005-0000-0000-0000CB010000}"/>
    <cellStyle name="표준 3 4 2 2 4" xfId="438" xr:uid="{00000000-0005-0000-0000-0000CC010000}"/>
    <cellStyle name="표준 3 4 2 3" xfId="439" xr:uid="{00000000-0005-0000-0000-0000CD010000}"/>
    <cellStyle name="표준 3 4 2 3 2" xfId="440" xr:uid="{00000000-0005-0000-0000-0000CE010000}"/>
    <cellStyle name="표준 3 4 2 3 2 2" xfId="441" xr:uid="{00000000-0005-0000-0000-0000CF010000}"/>
    <cellStyle name="표준 3 4 2 3 2 2 2" xfId="442" xr:uid="{00000000-0005-0000-0000-0000D0010000}"/>
    <cellStyle name="표준 3 4 2 3 2 3" xfId="443" xr:uid="{00000000-0005-0000-0000-0000D1010000}"/>
    <cellStyle name="표준 3 4 2 3 3" xfId="444" xr:uid="{00000000-0005-0000-0000-0000D2010000}"/>
    <cellStyle name="표준 3 4 2 3 3 2" xfId="445" xr:uid="{00000000-0005-0000-0000-0000D3010000}"/>
    <cellStyle name="표준 3 4 2 3 4" xfId="446" xr:uid="{00000000-0005-0000-0000-0000D4010000}"/>
    <cellStyle name="표준 3 4 2 4" xfId="447" xr:uid="{00000000-0005-0000-0000-0000D5010000}"/>
    <cellStyle name="표준 3 4 2 4 2" xfId="448" xr:uid="{00000000-0005-0000-0000-0000D6010000}"/>
    <cellStyle name="표준 3 4 2 4 2 2" xfId="449" xr:uid="{00000000-0005-0000-0000-0000D7010000}"/>
    <cellStyle name="표준 3 4 2 4 3" xfId="450" xr:uid="{00000000-0005-0000-0000-0000D8010000}"/>
    <cellStyle name="표준 3 4 2 5" xfId="451" xr:uid="{00000000-0005-0000-0000-0000D9010000}"/>
    <cellStyle name="표준 3 4 2 5 2" xfId="452" xr:uid="{00000000-0005-0000-0000-0000DA010000}"/>
    <cellStyle name="표준 3 4 2 6" xfId="453" xr:uid="{00000000-0005-0000-0000-0000DB010000}"/>
    <cellStyle name="표준 3 4 3" xfId="454" xr:uid="{00000000-0005-0000-0000-0000DC010000}"/>
    <cellStyle name="표준 3 4 3 2" xfId="455" xr:uid="{00000000-0005-0000-0000-0000DD010000}"/>
    <cellStyle name="표준 3 4 3 2 2" xfId="456" xr:uid="{00000000-0005-0000-0000-0000DE010000}"/>
    <cellStyle name="표준 3 4 3 3" xfId="457" xr:uid="{00000000-0005-0000-0000-0000DF010000}"/>
    <cellStyle name="표준 3 4 4" xfId="458" xr:uid="{00000000-0005-0000-0000-0000E0010000}"/>
    <cellStyle name="표준 3 4 4 2" xfId="459" xr:uid="{00000000-0005-0000-0000-0000E1010000}"/>
    <cellStyle name="표준 3 4 5" xfId="460" xr:uid="{00000000-0005-0000-0000-0000E2010000}"/>
    <cellStyle name="표준 3 5" xfId="461" xr:uid="{00000000-0005-0000-0000-0000E3010000}"/>
    <cellStyle name="표준 3 6" xfId="462" xr:uid="{00000000-0005-0000-0000-0000E4010000}"/>
    <cellStyle name="표준 3 6 2" xfId="463" xr:uid="{00000000-0005-0000-0000-0000E5010000}"/>
    <cellStyle name="표준 3 6 2 2" xfId="464" xr:uid="{00000000-0005-0000-0000-0000E6010000}"/>
    <cellStyle name="표준 3 6 2 2 2" xfId="465" xr:uid="{00000000-0005-0000-0000-0000E7010000}"/>
    <cellStyle name="표준 3 6 2 2 2 2" xfId="466" xr:uid="{00000000-0005-0000-0000-0000E8010000}"/>
    <cellStyle name="표준 3 6 2 2 3" xfId="467" xr:uid="{00000000-0005-0000-0000-0000E9010000}"/>
    <cellStyle name="표준 3 6 2 3" xfId="468" xr:uid="{00000000-0005-0000-0000-0000EA010000}"/>
    <cellStyle name="표준 3 6 2 3 2" xfId="469" xr:uid="{00000000-0005-0000-0000-0000EB010000}"/>
    <cellStyle name="표준 3 6 2 4" xfId="470" xr:uid="{00000000-0005-0000-0000-0000EC010000}"/>
    <cellStyle name="표준 3 6 3" xfId="471" xr:uid="{00000000-0005-0000-0000-0000ED010000}"/>
    <cellStyle name="표준 3 6 3 2" xfId="472" xr:uid="{00000000-0005-0000-0000-0000EE010000}"/>
    <cellStyle name="표준 3 6 3 2 2" xfId="473" xr:uid="{00000000-0005-0000-0000-0000EF010000}"/>
    <cellStyle name="표준 3 6 3 3" xfId="474" xr:uid="{00000000-0005-0000-0000-0000F0010000}"/>
    <cellStyle name="표준 3 6 4" xfId="475" xr:uid="{00000000-0005-0000-0000-0000F1010000}"/>
    <cellStyle name="표준 3 6 4 2" xfId="476" xr:uid="{00000000-0005-0000-0000-0000F2010000}"/>
    <cellStyle name="표준 3 6 5" xfId="477" xr:uid="{00000000-0005-0000-0000-0000F3010000}"/>
    <cellStyle name="표준 3 7" xfId="478" xr:uid="{00000000-0005-0000-0000-0000F4010000}"/>
    <cellStyle name="표준 3 7 2" xfId="479" xr:uid="{00000000-0005-0000-0000-0000F5010000}"/>
    <cellStyle name="표준 3 7 2 2" xfId="480" xr:uid="{00000000-0005-0000-0000-0000F6010000}"/>
    <cellStyle name="표준 3 7 3" xfId="481" xr:uid="{00000000-0005-0000-0000-0000F7010000}"/>
    <cellStyle name="표준 3 7 4" xfId="888" xr:uid="{00000000-0005-0000-0000-0000F8010000}"/>
    <cellStyle name="표준 3 7 5" xfId="889" xr:uid="{00000000-0005-0000-0000-0000F9010000}"/>
    <cellStyle name="표준 3 8" xfId="482" xr:uid="{00000000-0005-0000-0000-0000FA010000}"/>
    <cellStyle name="표준 3 8 2" xfId="483" xr:uid="{00000000-0005-0000-0000-0000FB010000}"/>
    <cellStyle name="표준 3 9" xfId="890" xr:uid="{00000000-0005-0000-0000-0000FC010000}"/>
    <cellStyle name="표준 3 9 2" xfId="891" xr:uid="{00000000-0005-0000-0000-0000FD010000}"/>
    <cellStyle name="표준 3 9 2 2" xfId="892" xr:uid="{00000000-0005-0000-0000-0000FE010000}"/>
    <cellStyle name="표준 3 9 3" xfId="893" xr:uid="{00000000-0005-0000-0000-0000FF010000}"/>
    <cellStyle name="표준 3 9 4" xfId="894" xr:uid="{00000000-0005-0000-0000-000000020000}"/>
    <cellStyle name="표준 4" xfId="484" xr:uid="{00000000-0005-0000-0000-000001020000}"/>
    <cellStyle name="표준 4 2" xfId="485" xr:uid="{00000000-0005-0000-0000-000002020000}"/>
    <cellStyle name="표준 4 3" xfId="486" xr:uid="{00000000-0005-0000-0000-000003020000}"/>
    <cellStyle name="표준 4 3 2" xfId="487" xr:uid="{00000000-0005-0000-0000-000004020000}"/>
    <cellStyle name="표준 4 3 2 2" xfId="488" xr:uid="{00000000-0005-0000-0000-000005020000}"/>
    <cellStyle name="표준 4 3 2 2 2" xfId="489" xr:uid="{00000000-0005-0000-0000-000006020000}"/>
    <cellStyle name="표준 4 3 2 3" xfId="490" xr:uid="{00000000-0005-0000-0000-000007020000}"/>
    <cellStyle name="표준 4 3 3" xfId="491" xr:uid="{00000000-0005-0000-0000-000008020000}"/>
    <cellStyle name="표준 4 3 3 2" xfId="492" xr:uid="{00000000-0005-0000-0000-000009020000}"/>
    <cellStyle name="표준 4 3 4" xfId="493" xr:uid="{00000000-0005-0000-0000-00000A020000}"/>
    <cellStyle name="표준 4 4" xfId="494" xr:uid="{00000000-0005-0000-0000-00000B020000}"/>
    <cellStyle name="표준 4 4 2" xfId="495" xr:uid="{00000000-0005-0000-0000-00000C020000}"/>
    <cellStyle name="표준 4 4 2 2" xfId="496" xr:uid="{00000000-0005-0000-0000-00000D020000}"/>
    <cellStyle name="표준 4 4 2 2 2" xfId="497" xr:uid="{00000000-0005-0000-0000-00000E020000}"/>
    <cellStyle name="표준 4 4 2 3" xfId="498" xr:uid="{00000000-0005-0000-0000-00000F020000}"/>
    <cellStyle name="표준 4 4 3" xfId="499" xr:uid="{00000000-0005-0000-0000-000010020000}"/>
    <cellStyle name="표준 4 4 3 2" xfId="500" xr:uid="{00000000-0005-0000-0000-000011020000}"/>
    <cellStyle name="표준 4 4 4" xfId="501" xr:uid="{00000000-0005-0000-0000-000012020000}"/>
    <cellStyle name="표준 4 5" xfId="502" xr:uid="{00000000-0005-0000-0000-000013020000}"/>
    <cellStyle name="표준 4 5 2" xfId="503" xr:uid="{00000000-0005-0000-0000-000014020000}"/>
    <cellStyle name="표준 4 5 2 2" xfId="504" xr:uid="{00000000-0005-0000-0000-000015020000}"/>
    <cellStyle name="표준 4 5 2 2 2" xfId="505" xr:uid="{00000000-0005-0000-0000-000016020000}"/>
    <cellStyle name="표준 4 5 2 3" xfId="506" xr:uid="{00000000-0005-0000-0000-000017020000}"/>
    <cellStyle name="표준 4 5 3" xfId="507" xr:uid="{00000000-0005-0000-0000-000018020000}"/>
    <cellStyle name="표준 4 5 3 2" xfId="508" xr:uid="{00000000-0005-0000-0000-000019020000}"/>
    <cellStyle name="표준 4 5 4" xfId="509" xr:uid="{00000000-0005-0000-0000-00001A020000}"/>
    <cellStyle name="표준 4 6" xfId="510" xr:uid="{00000000-0005-0000-0000-00001B020000}"/>
    <cellStyle name="표준 4 6 2" xfId="511" xr:uid="{00000000-0005-0000-0000-00001C020000}"/>
    <cellStyle name="표준 4 6 2 2" xfId="512" xr:uid="{00000000-0005-0000-0000-00001D020000}"/>
    <cellStyle name="표준 4 6 3" xfId="513" xr:uid="{00000000-0005-0000-0000-00001E020000}"/>
    <cellStyle name="표준 4 7" xfId="514" xr:uid="{00000000-0005-0000-0000-00001F020000}"/>
    <cellStyle name="표준 4 7 2" xfId="515" xr:uid="{00000000-0005-0000-0000-000020020000}"/>
    <cellStyle name="표준 4 8" xfId="516" xr:uid="{00000000-0005-0000-0000-000021020000}"/>
    <cellStyle name="표준 5" xfId="517" xr:uid="{00000000-0005-0000-0000-000022020000}"/>
    <cellStyle name="표준 5 2" xfId="518" xr:uid="{00000000-0005-0000-0000-000023020000}"/>
    <cellStyle name="표준 5 2 2" xfId="519" xr:uid="{00000000-0005-0000-0000-000024020000}"/>
    <cellStyle name="표준 5 2 2 2" xfId="520" xr:uid="{00000000-0005-0000-0000-000025020000}"/>
    <cellStyle name="표준 5 2 2 2 2" xfId="521" xr:uid="{00000000-0005-0000-0000-000026020000}"/>
    <cellStyle name="표준 5 2 2 3" xfId="522" xr:uid="{00000000-0005-0000-0000-000027020000}"/>
    <cellStyle name="표준 5 2 3" xfId="523" xr:uid="{00000000-0005-0000-0000-000028020000}"/>
    <cellStyle name="표준 5 2 3 2" xfId="524" xr:uid="{00000000-0005-0000-0000-000029020000}"/>
    <cellStyle name="표준 5 2 4" xfId="525" xr:uid="{00000000-0005-0000-0000-00002A020000}"/>
    <cellStyle name="표준 5 3" xfId="526" xr:uid="{00000000-0005-0000-0000-00002B020000}"/>
    <cellStyle name="표준 5 3 2" xfId="527" xr:uid="{00000000-0005-0000-0000-00002C020000}"/>
    <cellStyle name="표준 5 3 2 2" xfId="528" xr:uid="{00000000-0005-0000-0000-00002D020000}"/>
    <cellStyle name="표준 5 3 3" xfId="529" xr:uid="{00000000-0005-0000-0000-00002E020000}"/>
    <cellStyle name="표준 5 4" xfId="530" xr:uid="{00000000-0005-0000-0000-00002F020000}"/>
    <cellStyle name="표준 5 4 2" xfId="531" xr:uid="{00000000-0005-0000-0000-000030020000}"/>
    <cellStyle name="표준 5 4 2 2" xfId="532" xr:uid="{00000000-0005-0000-0000-000031020000}"/>
    <cellStyle name="표준 5 4 3" xfId="533" xr:uid="{00000000-0005-0000-0000-000032020000}"/>
    <cellStyle name="표준 5 5" xfId="534" xr:uid="{00000000-0005-0000-0000-000033020000}"/>
    <cellStyle name="표준 5 5 2" xfId="535" xr:uid="{00000000-0005-0000-0000-000034020000}"/>
    <cellStyle name="표준 5 6" xfId="536" xr:uid="{00000000-0005-0000-0000-000035020000}"/>
    <cellStyle name="표준 6" xfId="537" xr:uid="{00000000-0005-0000-0000-000036020000}"/>
    <cellStyle name="표준 6 10" xfId="538" xr:uid="{00000000-0005-0000-0000-000037020000}"/>
    <cellStyle name="표준 6 10 2" xfId="539" xr:uid="{00000000-0005-0000-0000-000038020000}"/>
    <cellStyle name="표준 6 10 2 2" xfId="540" xr:uid="{00000000-0005-0000-0000-000039020000}"/>
    <cellStyle name="표준 6 10 2 2 2" xfId="541" xr:uid="{00000000-0005-0000-0000-00003A020000}"/>
    <cellStyle name="표준 6 10 2 3" xfId="542" xr:uid="{00000000-0005-0000-0000-00003B020000}"/>
    <cellStyle name="표준 6 10 3" xfId="543" xr:uid="{00000000-0005-0000-0000-00003C020000}"/>
    <cellStyle name="표준 6 10 3 2" xfId="544" xr:uid="{00000000-0005-0000-0000-00003D020000}"/>
    <cellStyle name="표준 6 10 4" xfId="545" xr:uid="{00000000-0005-0000-0000-00003E020000}"/>
    <cellStyle name="표준 6 11" xfId="546" xr:uid="{00000000-0005-0000-0000-00003F020000}"/>
    <cellStyle name="표준 6 11 2" xfId="547" xr:uid="{00000000-0005-0000-0000-000040020000}"/>
    <cellStyle name="표준 6 11 2 2" xfId="548" xr:uid="{00000000-0005-0000-0000-000041020000}"/>
    <cellStyle name="표준 6 11 2 2 2" xfId="549" xr:uid="{00000000-0005-0000-0000-000042020000}"/>
    <cellStyle name="표준 6 11 2 3" xfId="550" xr:uid="{00000000-0005-0000-0000-000043020000}"/>
    <cellStyle name="표준 6 11 3" xfId="551" xr:uid="{00000000-0005-0000-0000-000044020000}"/>
    <cellStyle name="표준 6 11 3 2" xfId="552" xr:uid="{00000000-0005-0000-0000-000045020000}"/>
    <cellStyle name="표준 6 11 4" xfId="553" xr:uid="{00000000-0005-0000-0000-000046020000}"/>
    <cellStyle name="표준 6 11 5" xfId="895" xr:uid="{00000000-0005-0000-0000-000047020000}"/>
    <cellStyle name="표준 6 12" xfId="554" xr:uid="{00000000-0005-0000-0000-000048020000}"/>
    <cellStyle name="표준 6 12 2" xfId="555" xr:uid="{00000000-0005-0000-0000-000049020000}"/>
    <cellStyle name="표준 6 12 2 2" xfId="556" xr:uid="{00000000-0005-0000-0000-00004A020000}"/>
    <cellStyle name="표준 6 12 3" xfId="557" xr:uid="{00000000-0005-0000-0000-00004B020000}"/>
    <cellStyle name="표준 6 12 3 2" xfId="558" xr:uid="{00000000-0005-0000-0000-00004C020000}"/>
    <cellStyle name="표준 6 12 3 3" xfId="559" xr:uid="{00000000-0005-0000-0000-00004D020000}"/>
    <cellStyle name="표준 6 12 3 4" xfId="896" xr:uid="{00000000-0005-0000-0000-00004E020000}"/>
    <cellStyle name="표준 6 12 3 5" xfId="897" xr:uid="{00000000-0005-0000-0000-00004F020000}"/>
    <cellStyle name="표준 6 12 4" xfId="560" xr:uid="{00000000-0005-0000-0000-000050020000}"/>
    <cellStyle name="표준 6 13" xfId="561" xr:uid="{00000000-0005-0000-0000-000051020000}"/>
    <cellStyle name="표준 6 13 2" xfId="562" xr:uid="{00000000-0005-0000-0000-000052020000}"/>
    <cellStyle name="표준 6 14" xfId="563" xr:uid="{00000000-0005-0000-0000-000053020000}"/>
    <cellStyle name="표준 6 15" xfId="564" xr:uid="{00000000-0005-0000-0000-000054020000}"/>
    <cellStyle name="표준 6 16" xfId="898" xr:uid="{00000000-0005-0000-0000-000055020000}"/>
    <cellStyle name="표준 6 2" xfId="565" xr:uid="{00000000-0005-0000-0000-000056020000}"/>
    <cellStyle name="표준 6 2 2" xfId="566" xr:uid="{00000000-0005-0000-0000-000057020000}"/>
    <cellStyle name="표준 6 2 2 2" xfId="567" xr:uid="{00000000-0005-0000-0000-000058020000}"/>
    <cellStyle name="표준 6 2 2 2 2" xfId="568" xr:uid="{00000000-0005-0000-0000-000059020000}"/>
    <cellStyle name="표준 6 2 2 2 2 2" xfId="569" xr:uid="{00000000-0005-0000-0000-00005A020000}"/>
    <cellStyle name="표준 6 2 2 2 2 2 2" xfId="570" xr:uid="{00000000-0005-0000-0000-00005B020000}"/>
    <cellStyle name="표준 6 2 2 2 2 2 2 2" xfId="571" xr:uid="{00000000-0005-0000-0000-00005C020000}"/>
    <cellStyle name="표준 6 2 2 2 2 2 2 2 2" xfId="572" xr:uid="{00000000-0005-0000-0000-00005D020000}"/>
    <cellStyle name="표준 6 2 2 2 2 2 2 3" xfId="573" xr:uid="{00000000-0005-0000-0000-00005E020000}"/>
    <cellStyle name="표준 6 2 2 2 2 2 3" xfId="574" xr:uid="{00000000-0005-0000-0000-00005F020000}"/>
    <cellStyle name="표준 6 2 2 2 2 2 3 2" xfId="575" xr:uid="{00000000-0005-0000-0000-000060020000}"/>
    <cellStyle name="표준 6 2 2 2 2 2 4" xfId="576" xr:uid="{00000000-0005-0000-0000-000061020000}"/>
    <cellStyle name="표준 6 2 2 2 2 3" xfId="577" xr:uid="{00000000-0005-0000-0000-000062020000}"/>
    <cellStyle name="표준 6 2 2 2 2 3 2" xfId="578" xr:uid="{00000000-0005-0000-0000-000063020000}"/>
    <cellStyle name="표준 6 2 2 2 2 3 2 2" xfId="579" xr:uid="{00000000-0005-0000-0000-000064020000}"/>
    <cellStyle name="표준 6 2 2 2 2 3 3" xfId="580" xr:uid="{00000000-0005-0000-0000-000065020000}"/>
    <cellStyle name="표준 6 2 2 2 2 4" xfId="581" xr:uid="{00000000-0005-0000-0000-000066020000}"/>
    <cellStyle name="표준 6 2 2 2 2 4 2" xfId="582" xr:uid="{00000000-0005-0000-0000-000067020000}"/>
    <cellStyle name="표준 6 2 2 2 2 5" xfId="583" xr:uid="{00000000-0005-0000-0000-000068020000}"/>
    <cellStyle name="표준 6 2 2 2 3" xfId="584" xr:uid="{00000000-0005-0000-0000-000069020000}"/>
    <cellStyle name="표준 6 2 2 2 3 2" xfId="585" xr:uid="{00000000-0005-0000-0000-00006A020000}"/>
    <cellStyle name="표준 6 2 2 2 3 2 2" xfId="586" xr:uid="{00000000-0005-0000-0000-00006B020000}"/>
    <cellStyle name="표준 6 2 2 2 3 3" xfId="587" xr:uid="{00000000-0005-0000-0000-00006C020000}"/>
    <cellStyle name="표준 6 2 2 2 4" xfId="588" xr:uid="{00000000-0005-0000-0000-00006D020000}"/>
    <cellStyle name="표준 6 2 2 2 4 2" xfId="589" xr:uid="{00000000-0005-0000-0000-00006E020000}"/>
    <cellStyle name="표준 6 2 2 2 4 2 2" xfId="590" xr:uid="{00000000-0005-0000-0000-00006F020000}"/>
    <cellStyle name="표준 6 2 2 2 4 3" xfId="591" xr:uid="{00000000-0005-0000-0000-000070020000}"/>
    <cellStyle name="표준 6 2 2 2 5" xfId="592" xr:uid="{00000000-0005-0000-0000-000071020000}"/>
    <cellStyle name="표준 6 2 2 2 5 2" xfId="593" xr:uid="{00000000-0005-0000-0000-000072020000}"/>
    <cellStyle name="표준 6 2 2 2 6" xfId="594" xr:uid="{00000000-0005-0000-0000-000073020000}"/>
    <cellStyle name="표준 6 2 2 3" xfId="595" xr:uid="{00000000-0005-0000-0000-000074020000}"/>
    <cellStyle name="표준 6 2 2 3 2" xfId="596" xr:uid="{00000000-0005-0000-0000-000075020000}"/>
    <cellStyle name="표준 6 2 2 3 2 2" xfId="597" xr:uid="{00000000-0005-0000-0000-000076020000}"/>
    <cellStyle name="표준 6 2 2 3 2 2 2" xfId="598" xr:uid="{00000000-0005-0000-0000-000077020000}"/>
    <cellStyle name="표준 6 2 2 3 2 3" xfId="599" xr:uid="{00000000-0005-0000-0000-000078020000}"/>
    <cellStyle name="표준 6 2 2 3 3" xfId="600" xr:uid="{00000000-0005-0000-0000-000079020000}"/>
    <cellStyle name="표준 6 2 2 3 3 2" xfId="601" xr:uid="{00000000-0005-0000-0000-00007A020000}"/>
    <cellStyle name="표준 6 2 2 3 3 2 2" xfId="602" xr:uid="{00000000-0005-0000-0000-00007B020000}"/>
    <cellStyle name="표준 6 2 2 3 3 3" xfId="603" xr:uid="{00000000-0005-0000-0000-00007C020000}"/>
    <cellStyle name="표준 6 2 2 3 4" xfId="604" xr:uid="{00000000-0005-0000-0000-00007D020000}"/>
    <cellStyle name="표준 6 2 2 3 4 2" xfId="605" xr:uid="{00000000-0005-0000-0000-00007E020000}"/>
    <cellStyle name="표준 6 2 2 3 5" xfId="606" xr:uid="{00000000-0005-0000-0000-00007F020000}"/>
    <cellStyle name="표준 6 2 2 4" xfId="607" xr:uid="{00000000-0005-0000-0000-000080020000}"/>
    <cellStyle name="표준 6 2 2 4 2" xfId="608" xr:uid="{00000000-0005-0000-0000-000081020000}"/>
    <cellStyle name="표준 6 2 2 4 2 2" xfId="609" xr:uid="{00000000-0005-0000-0000-000082020000}"/>
    <cellStyle name="표준 6 2 2 4 3" xfId="610" xr:uid="{00000000-0005-0000-0000-000083020000}"/>
    <cellStyle name="표준 6 2 2 5" xfId="611" xr:uid="{00000000-0005-0000-0000-000084020000}"/>
    <cellStyle name="표준 6 2 2 5 2" xfId="612" xr:uid="{00000000-0005-0000-0000-000085020000}"/>
    <cellStyle name="표준 6 2 2 5 2 2" xfId="613" xr:uid="{00000000-0005-0000-0000-000086020000}"/>
    <cellStyle name="표준 6 2 2 5 3" xfId="614" xr:uid="{00000000-0005-0000-0000-000087020000}"/>
    <cellStyle name="표준 6 2 2 6" xfId="615" xr:uid="{00000000-0005-0000-0000-000088020000}"/>
    <cellStyle name="표준 6 2 2 6 2" xfId="616" xr:uid="{00000000-0005-0000-0000-000089020000}"/>
    <cellStyle name="표준 6 2 2 7" xfId="617" xr:uid="{00000000-0005-0000-0000-00008A020000}"/>
    <cellStyle name="표준 6 2 3" xfId="618" xr:uid="{00000000-0005-0000-0000-00008B020000}"/>
    <cellStyle name="표준 6 2 3 2" xfId="619" xr:uid="{00000000-0005-0000-0000-00008C020000}"/>
    <cellStyle name="표준 6 2 3 2 2" xfId="620" xr:uid="{00000000-0005-0000-0000-00008D020000}"/>
    <cellStyle name="표준 6 2 3 3" xfId="621" xr:uid="{00000000-0005-0000-0000-00008E020000}"/>
    <cellStyle name="표준 6 2 4" xfId="622" xr:uid="{00000000-0005-0000-0000-00008F020000}"/>
    <cellStyle name="표준 6 2 4 2" xfId="623" xr:uid="{00000000-0005-0000-0000-000090020000}"/>
    <cellStyle name="표준 6 2 4 2 2" xfId="624" xr:uid="{00000000-0005-0000-0000-000091020000}"/>
    <cellStyle name="표준 6 2 4 3" xfId="625" xr:uid="{00000000-0005-0000-0000-000092020000}"/>
    <cellStyle name="표준 6 2 5" xfId="626" xr:uid="{00000000-0005-0000-0000-000093020000}"/>
    <cellStyle name="표준 6 2 5 2" xfId="627" xr:uid="{00000000-0005-0000-0000-000094020000}"/>
    <cellStyle name="표준 6 2 6" xfId="628" xr:uid="{00000000-0005-0000-0000-000095020000}"/>
    <cellStyle name="표준 6 3" xfId="629" xr:uid="{00000000-0005-0000-0000-000096020000}"/>
    <cellStyle name="표준 6 3 2" xfId="630" xr:uid="{00000000-0005-0000-0000-000097020000}"/>
    <cellStyle name="표준 6 3 2 2" xfId="631" xr:uid="{00000000-0005-0000-0000-000098020000}"/>
    <cellStyle name="표준 6 3 2 2 2" xfId="632" xr:uid="{00000000-0005-0000-0000-000099020000}"/>
    <cellStyle name="표준 6 3 2 2 2 2" xfId="633" xr:uid="{00000000-0005-0000-0000-00009A020000}"/>
    <cellStyle name="표준 6 3 2 2 2 2 2" xfId="634" xr:uid="{00000000-0005-0000-0000-00009B020000}"/>
    <cellStyle name="표준 6 3 2 2 2 3" xfId="635" xr:uid="{00000000-0005-0000-0000-00009C020000}"/>
    <cellStyle name="표준 6 3 2 2 3" xfId="636" xr:uid="{00000000-0005-0000-0000-00009D020000}"/>
    <cellStyle name="표준 6 3 2 2 3 2" xfId="637" xr:uid="{00000000-0005-0000-0000-00009E020000}"/>
    <cellStyle name="표준 6 3 2 2 4" xfId="638" xr:uid="{00000000-0005-0000-0000-00009F020000}"/>
    <cellStyle name="표준 6 3 2 3" xfId="639" xr:uid="{00000000-0005-0000-0000-0000A0020000}"/>
    <cellStyle name="표준 6 3 2 3 2" xfId="640" xr:uid="{00000000-0005-0000-0000-0000A1020000}"/>
    <cellStyle name="표준 6 3 2 3 2 2" xfId="641" xr:uid="{00000000-0005-0000-0000-0000A2020000}"/>
    <cellStyle name="표준 6 3 2 3 2 2 2" xfId="642" xr:uid="{00000000-0005-0000-0000-0000A3020000}"/>
    <cellStyle name="표준 6 3 2 3 2 3" xfId="643" xr:uid="{00000000-0005-0000-0000-0000A4020000}"/>
    <cellStyle name="표준 6 3 2 3 3" xfId="644" xr:uid="{00000000-0005-0000-0000-0000A5020000}"/>
    <cellStyle name="표준 6 3 2 3 3 2" xfId="645" xr:uid="{00000000-0005-0000-0000-0000A6020000}"/>
    <cellStyle name="표준 6 3 2 3 4" xfId="646" xr:uid="{00000000-0005-0000-0000-0000A7020000}"/>
    <cellStyle name="표준 6 3 2 4" xfId="647" xr:uid="{00000000-0005-0000-0000-0000A8020000}"/>
    <cellStyle name="표준 6 3 2 4 2" xfId="648" xr:uid="{00000000-0005-0000-0000-0000A9020000}"/>
    <cellStyle name="표준 6 3 2 4 2 2" xfId="649" xr:uid="{00000000-0005-0000-0000-0000AA020000}"/>
    <cellStyle name="표준 6 3 2 4 3" xfId="650" xr:uid="{00000000-0005-0000-0000-0000AB020000}"/>
    <cellStyle name="표준 6 3 2 5" xfId="651" xr:uid="{00000000-0005-0000-0000-0000AC020000}"/>
    <cellStyle name="표준 6 3 2 5 2" xfId="652" xr:uid="{00000000-0005-0000-0000-0000AD020000}"/>
    <cellStyle name="표준 6 3 2 6" xfId="653" xr:uid="{00000000-0005-0000-0000-0000AE020000}"/>
    <cellStyle name="표준 6 3 3" xfId="654" xr:uid="{00000000-0005-0000-0000-0000AF020000}"/>
    <cellStyle name="표준 6 3 3 2" xfId="655" xr:uid="{00000000-0005-0000-0000-0000B0020000}"/>
    <cellStyle name="표준 6 3 3 2 2" xfId="656" xr:uid="{00000000-0005-0000-0000-0000B1020000}"/>
    <cellStyle name="표준 6 3 3 3" xfId="657" xr:uid="{00000000-0005-0000-0000-0000B2020000}"/>
    <cellStyle name="표준 6 3 4" xfId="658" xr:uid="{00000000-0005-0000-0000-0000B3020000}"/>
    <cellStyle name="표준 6 3 4 2" xfId="659" xr:uid="{00000000-0005-0000-0000-0000B4020000}"/>
    <cellStyle name="표준 6 3 4 2 2" xfId="660" xr:uid="{00000000-0005-0000-0000-0000B5020000}"/>
    <cellStyle name="표준 6 3 4 3" xfId="661" xr:uid="{00000000-0005-0000-0000-0000B6020000}"/>
    <cellStyle name="표준 6 3 5" xfId="662" xr:uid="{00000000-0005-0000-0000-0000B7020000}"/>
    <cellStyle name="표준 6 3 5 2" xfId="663" xr:uid="{00000000-0005-0000-0000-0000B8020000}"/>
    <cellStyle name="표준 6 3 5 2 2" xfId="664" xr:uid="{00000000-0005-0000-0000-0000B9020000}"/>
    <cellStyle name="표준 6 3 5 3" xfId="665" xr:uid="{00000000-0005-0000-0000-0000BA020000}"/>
    <cellStyle name="표준 6 3 6" xfId="666" xr:uid="{00000000-0005-0000-0000-0000BB020000}"/>
    <cellStyle name="표준 6 3 6 2" xfId="667" xr:uid="{00000000-0005-0000-0000-0000BC020000}"/>
    <cellStyle name="표준 6 3 7" xfId="668" xr:uid="{00000000-0005-0000-0000-0000BD020000}"/>
    <cellStyle name="표준 6 4" xfId="669" xr:uid="{00000000-0005-0000-0000-0000BE020000}"/>
    <cellStyle name="표준 6 4 2" xfId="670" xr:uid="{00000000-0005-0000-0000-0000BF020000}"/>
    <cellStyle name="표준 6 4 2 2" xfId="671" xr:uid="{00000000-0005-0000-0000-0000C0020000}"/>
    <cellStyle name="표준 6 4 2 2 2" xfId="672" xr:uid="{00000000-0005-0000-0000-0000C1020000}"/>
    <cellStyle name="표준 6 4 2 2 2 2" xfId="673" xr:uid="{00000000-0005-0000-0000-0000C2020000}"/>
    <cellStyle name="표준 6 4 2 2 3" xfId="674" xr:uid="{00000000-0005-0000-0000-0000C3020000}"/>
    <cellStyle name="표준 6 4 2 3" xfId="675" xr:uid="{00000000-0005-0000-0000-0000C4020000}"/>
    <cellStyle name="표준 6 4 2 3 2" xfId="676" xr:uid="{00000000-0005-0000-0000-0000C5020000}"/>
    <cellStyle name="표준 6 4 2 4" xfId="677" xr:uid="{00000000-0005-0000-0000-0000C6020000}"/>
    <cellStyle name="표준 6 4 3" xfId="678" xr:uid="{00000000-0005-0000-0000-0000C7020000}"/>
    <cellStyle name="표준 6 4 3 2" xfId="679" xr:uid="{00000000-0005-0000-0000-0000C8020000}"/>
    <cellStyle name="표준 6 4 3 2 2" xfId="680" xr:uid="{00000000-0005-0000-0000-0000C9020000}"/>
    <cellStyle name="표준 6 4 3 2 2 2" xfId="681" xr:uid="{00000000-0005-0000-0000-0000CA020000}"/>
    <cellStyle name="표준 6 4 3 2 3" xfId="682" xr:uid="{00000000-0005-0000-0000-0000CB020000}"/>
    <cellStyle name="표준 6 4 3 3" xfId="683" xr:uid="{00000000-0005-0000-0000-0000CC020000}"/>
    <cellStyle name="표준 6 4 3 3 2" xfId="684" xr:uid="{00000000-0005-0000-0000-0000CD020000}"/>
    <cellStyle name="표준 6 4 3 4" xfId="685" xr:uid="{00000000-0005-0000-0000-0000CE020000}"/>
    <cellStyle name="표준 6 4 4" xfId="686" xr:uid="{00000000-0005-0000-0000-0000CF020000}"/>
    <cellStyle name="표준 6 4 4 2" xfId="687" xr:uid="{00000000-0005-0000-0000-0000D0020000}"/>
    <cellStyle name="표준 6 4 4 2 2" xfId="688" xr:uid="{00000000-0005-0000-0000-0000D1020000}"/>
    <cellStyle name="표준 6 4 4 3" xfId="689" xr:uid="{00000000-0005-0000-0000-0000D2020000}"/>
    <cellStyle name="표준 6 4 5" xfId="690" xr:uid="{00000000-0005-0000-0000-0000D3020000}"/>
    <cellStyle name="표준 6 4 5 2" xfId="691" xr:uid="{00000000-0005-0000-0000-0000D4020000}"/>
    <cellStyle name="표준 6 4 6" xfId="692" xr:uid="{00000000-0005-0000-0000-0000D5020000}"/>
    <cellStyle name="표준 6 5" xfId="693" xr:uid="{00000000-0005-0000-0000-0000D6020000}"/>
    <cellStyle name="표준 6 5 2" xfId="694" xr:uid="{00000000-0005-0000-0000-0000D7020000}"/>
    <cellStyle name="표준 6 5 2 2" xfId="695" xr:uid="{00000000-0005-0000-0000-0000D8020000}"/>
    <cellStyle name="표준 6 5 2 2 2" xfId="696" xr:uid="{00000000-0005-0000-0000-0000D9020000}"/>
    <cellStyle name="표준 6 5 2 2 2 2" xfId="697" xr:uid="{00000000-0005-0000-0000-0000DA020000}"/>
    <cellStyle name="표준 6 5 2 2 2 2 2" xfId="698" xr:uid="{00000000-0005-0000-0000-0000DB020000}"/>
    <cellStyle name="표준 6 5 2 2 2 2 2 2" xfId="699" xr:uid="{00000000-0005-0000-0000-0000DC020000}"/>
    <cellStyle name="표준 6 5 2 2 2 2 3" xfId="700" xr:uid="{00000000-0005-0000-0000-0000DD020000}"/>
    <cellStyle name="표준 6 5 2 2 2 3" xfId="701" xr:uid="{00000000-0005-0000-0000-0000DE020000}"/>
    <cellStyle name="표준 6 5 2 2 2 3 2" xfId="702" xr:uid="{00000000-0005-0000-0000-0000DF020000}"/>
    <cellStyle name="표준 6 5 2 2 2 4" xfId="703" xr:uid="{00000000-0005-0000-0000-0000E0020000}"/>
    <cellStyle name="표준 6 5 2 2 3" xfId="704" xr:uid="{00000000-0005-0000-0000-0000E1020000}"/>
    <cellStyle name="표준 6 5 2 2 3 2" xfId="705" xr:uid="{00000000-0005-0000-0000-0000E2020000}"/>
    <cellStyle name="표준 6 5 2 2 3 2 2" xfId="706" xr:uid="{00000000-0005-0000-0000-0000E3020000}"/>
    <cellStyle name="표준 6 5 2 2 3 3" xfId="707" xr:uid="{00000000-0005-0000-0000-0000E4020000}"/>
    <cellStyle name="표준 6 5 2 2 4" xfId="708" xr:uid="{00000000-0005-0000-0000-0000E5020000}"/>
    <cellStyle name="표준 6 5 2 2 4 2" xfId="709" xr:uid="{00000000-0005-0000-0000-0000E6020000}"/>
    <cellStyle name="표준 6 5 2 2 5" xfId="710" xr:uid="{00000000-0005-0000-0000-0000E7020000}"/>
    <cellStyle name="표준 6 5 2 3" xfId="711" xr:uid="{00000000-0005-0000-0000-0000E8020000}"/>
    <cellStyle name="표준 6 5 2 3 2" xfId="712" xr:uid="{00000000-0005-0000-0000-0000E9020000}"/>
    <cellStyle name="표준 6 5 2 3 2 2" xfId="713" xr:uid="{00000000-0005-0000-0000-0000EA020000}"/>
    <cellStyle name="표준 6 5 2 3 2 2 2" xfId="714" xr:uid="{00000000-0005-0000-0000-0000EB020000}"/>
    <cellStyle name="표준 6 5 2 3 2 3" xfId="715" xr:uid="{00000000-0005-0000-0000-0000EC020000}"/>
    <cellStyle name="표준 6 5 2 3 3" xfId="716" xr:uid="{00000000-0005-0000-0000-0000ED020000}"/>
    <cellStyle name="표준 6 5 2 3 3 2" xfId="717" xr:uid="{00000000-0005-0000-0000-0000EE020000}"/>
    <cellStyle name="표준 6 5 2 3 4" xfId="718" xr:uid="{00000000-0005-0000-0000-0000EF020000}"/>
    <cellStyle name="표준 6 5 2 4" xfId="719" xr:uid="{00000000-0005-0000-0000-0000F0020000}"/>
    <cellStyle name="표준 6 5 2 4 2" xfId="720" xr:uid="{00000000-0005-0000-0000-0000F1020000}"/>
    <cellStyle name="표준 6 5 2 4 2 2" xfId="721" xr:uid="{00000000-0005-0000-0000-0000F2020000}"/>
    <cellStyle name="표준 6 5 2 4 2 2 2" xfId="722" xr:uid="{00000000-0005-0000-0000-0000F3020000}"/>
    <cellStyle name="표준 6 5 2 4 2 3" xfId="723" xr:uid="{00000000-0005-0000-0000-0000F4020000}"/>
    <cellStyle name="표준 6 5 2 4 3" xfId="724" xr:uid="{00000000-0005-0000-0000-0000F5020000}"/>
    <cellStyle name="표준 6 5 2 4 3 2" xfId="725" xr:uid="{00000000-0005-0000-0000-0000F6020000}"/>
    <cellStyle name="표준 6 5 2 4 4" xfId="726" xr:uid="{00000000-0005-0000-0000-0000F7020000}"/>
    <cellStyle name="표준 6 5 2 5" xfId="727" xr:uid="{00000000-0005-0000-0000-0000F8020000}"/>
    <cellStyle name="표준 6 5 2 5 2" xfId="728" xr:uid="{00000000-0005-0000-0000-0000F9020000}"/>
    <cellStyle name="표준 6 5 2 5 2 2" xfId="729" xr:uid="{00000000-0005-0000-0000-0000FA020000}"/>
    <cellStyle name="표준 6 5 2 5 2 2 2" xfId="730" xr:uid="{00000000-0005-0000-0000-0000FB020000}"/>
    <cellStyle name="표준 6 5 2 5 2 3" xfId="731" xr:uid="{00000000-0005-0000-0000-0000FC020000}"/>
    <cellStyle name="표준 6 5 2 5 3" xfId="732" xr:uid="{00000000-0005-0000-0000-0000FD020000}"/>
    <cellStyle name="표준 6 5 2 5 3 2" xfId="733" xr:uid="{00000000-0005-0000-0000-0000FE020000}"/>
    <cellStyle name="표준 6 5 2 5 4" xfId="734" xr:uid="{00000000-0005-0000-0000-0000FF020000}"/>
    <cellStyle name="표준 6 5 2 6" xfId="735" xr:uid="{00000000-0005-0000-0000-000000030000}"/>
    <cellStyle name="표준 6 5 2 6 2" xfId="736" xr:uid="{00000000-0005-0000-0000-000001030000}"/>
    <cellStyle name="표준 6 5 2 6 2 2" xfId="737" xr:uid="{00000000-0005-0000-0000-000002030000}"/>
    <cellStyle name="표준 6 5 2 6 3" xfId="738" xr:uid="{00000000-0005-0000-0000-000003030000}"/>
    <cellStyle name="표준 6 5 2 7" xfId="739" xr:uid="{00000000-0005-0000-0000-000004030000}"/>
    <cellStyle name="표준 6 5 2 7 2" xfId="740" xr:uid="{00000000-0005-0000-0000-000005030000}"/>
    <cellStyle name="표준 6 5 2 8" xfId="741" xr:uid="{00000000-0005-0000-0000-000006030000}"/>
    <cellStyle name="표준 6 5 3" xfId="742" xr:uid="{00000000-0005-0000-0000-000007030000}"/>
    <cellStyle name="표준 6 5 3 2" xfId="743" xr:uid="{00000000-0005-0000-0000-000008030000}"/>
    <cellStyle name="표준 6 5 3 2 2" xfId="744" xr:uid="{00000000-0005-0000-0000-000009030000}"/>
    <cellStyle name="표준 6 5 3 2 2 2" xfId="745" xr:uid="{00000000-0005-0000-0000-00000A030000}"/>
    <cellStyle name="표준 6 5 3 2 3" xfId="746" xr:uid="{00000000-0005-0000-0000-00000B030000}"/>
    <cellStyle name="표준 6 5 3 3" xfId="747" xr:uid="{00000000-0005-0000-0000-00000C030000}"/>
    <cellStyle name="표준 6 5 3 3 2" xfId="748" xr:uid="{00000000-0005-0000-0000-00000D030000}"/>
    <cellStyle name="표준 6 5 3 4" xfId="749" xr:uid="{00000000-0005-0000-0000-00000E030000}"/>
    <cellStyle name="표준 6 5 4" xfId="750" xr:uid="{00000000-0005-0000-0000-00000F030000}"/>
    <cellStyle name="표준 6 5 4 2" xfId="751" xr:uid="{00000000-0005-0000-0000-000010030000}"/>
    <cellStyle name="표준 6 5 4 2 2" xfId="752" xr:uid="{00000000-0005-0000-0000-000011030000}"/>
    <cellStyle name="표준 6 5 4 2 2 2" xfId="753" xr:uid="{00000000-0005-0000-0000-000012030000}"/>
    <cellStyle name="표준 6 5 4 2 3" xfId="754" xr:uid="{00000000-0005-0000-0000-000013030000}"/>
    <cellStyle name="표준 6 5 4 3" xfId="755" xr:uid="{00000000-0005-0000-0000-000014030000}"/>
    <cellStyle name="표준 6 5 4 3 2" xfId="756" xr:uid="{00000000-0005-0000-0000-000015030000}"/>
    <cellStyle name="표준 6 5 4 4" xfId="757" xr:uid="{00000000-0005-0000-0000-000016030000}"/>
    <cellStyle name="표준 6 5 5" xfId="758" xr:uid="{00000000-0005-0000-0000-000017030000}"/>
    <cellStyle name="표준 6 5 5 2" xfId="759" xr:uid="{00000000-0005-0000-0000-000018030000}"/>
    <cellStyle name="표준 6 5 5 2 2" xfId="760" xr:uid="{00000000-0005-0000-0000-000019030000}"/>
    <cellStyle name="표준 6 5 5 3" xfId="761" xr:uid="{00000000-0005-0000-0000-00001A030000}"/>
    <cellStyle name="표준 6 5 6" xfId="762" xr:uid="{00000000-0005-0000-0000-00001B030000}"/>
    <cellStyle name="표준 6 5 6 2" xfId="763" xr:uid="{00000000-0005-0000-0000-00001C030000}"/>
    <cellStyle name="표준 6 5 7" xfId="764" xr:uid="{00000000-0005-0000-0000-00001D030000}"/>
    <cellStyle name="표준 6 6" xfId="765" xr:uid="{00000000-0005-0000-0000-00001E030000}"/>
    <cellStyle name="표준 6 6 2" xfId="766" xr:uid="{00000000-0005-0000-0000-00001F030000}"/>
    <cellStyle name="표준 6 6 2 2" xfId="767" xr:uid="{00000000-0005-0000-0000-000020030000}"/>
    <cellStyle name="표준 6 6 2 2 2" xfId="768" xr:uid="{00000000-0005-0000-0000-000021030000}"/>
    <cellStyle name="표준 6 6 2 3" xfId="769" xr:uid="{00000000-0005-0000-0000-000022030000}"/>
    <cellStyle name="표준 6 6 3" xfId="770" xr:uid="{00000000-0005-0000-0000-000023030000}"/>
    <cellStyle name="표준 6 6 3 2" xfId="771" xr:uid="{00000000-0005-0000-0000-000024030000}"/>
    <cellStyle name="표준 6 6 4" xfId="772" xr:uid="{00000000-0005-0000-0000-000025030000}"/>
    <cellStyle name="표준 6 7" xfId="773" xr:uid="{00000000-0005-0000-0000-000026030000}"/>
    <cellStyle name="표준 6 7 2" xfId="774" xr:uid="{00000000-0005-0000-0000-000027030000}"/>
    <cellStyle name="표준 6 7 2 2" xfId="775" xr:uid="{00000000-0005-0000-0000-000028030000}"/>
    <cellStyle name="표준 6 7 2 2 2" xfId="776" xr:uid="{00000000-0005-0000-0000-000029030000}"/>
    <cellStyle name="표준 6 7 2 3" xfId="777" xr:uid="{00000000-0005-0000-0000-00002A030000}"/>
    <cellStyle name="표준 6 7 3" xfId="778" xr:uid="{00000000-0005-0000-0000-00002B030000}"/>
    <cellStyle name="표준 6 7 3 2" xfId="779" xr:uid="{00000000-0005-0000-0000-00002C030000}"/>
    <cellStyle name="표준 6 7 4" xfId="780" xr:uid="{00000000-0005-0000-0000-00002D030000}"/>
    <cellStyle name="표준 6 7 5" xfId="899" xr:uid="{00000000-0005-0000-0000-00002E030000}"/>
    <cellStyle name="표준 6 8" xfId="781" xr:uid="{00000000-0005-0000-0000-00002F030000}"/>
    <cellStyle name="표준 6 8 2" xfId="782" xr:uid="{00000000-0005-0000-0000-000030030000}"/>
    <cellStyle name="표준 6 8 2 2" xfId="783" xr:uid="{00000000-0005-0000-0000-000031030000}"/>
    <cellStyle name="표준 6 8 2 2 2" xfId="784" xr:uid="{00000000-0005-0000-0000-000032030000}"/>
    <cellStyle name="표준 6 8 2 3" xfId="785" xr:uid="{00000000-0005-0000-0000-000033030000}"/>
    <cellStyle name="표준 6 8 3" xfId="786" xr:uid="{00000000-0005-0000-0000-000034030000}"/>
    <cellStyle name="표준 6 8 3 2" xfId="787" xr:uid="{00000000-0005-0000-0000-000035030000}"/>
    <cellStyle name="표준 6 8 4" xfId="788" xr:uid="{00000000-0005-0000-0000-000036030000}"/>
    <cellStyle name="표준 6 9" xfId="789" xr:uid="{00000000-0005-0000-0000-000037030000}"/>
    <cellStyle name="표준 6 9 2" xfId="790" xr:uid="{00000000-0005-0000-0000-000038030000}"/>
    <cellStyle name="표준 6 9 2 2" xfId="791" xr:uid="{00000000-0005-0000-0000-000039030000}"/>
    <cellStyle name="표준 6 9 2 2 2" xfId="792" xr:uid="{00000000-0005-0000-0000-00003A030000}"/>
    <cellStyle name="표준 6 9 2 3" xfId="793" xr:uid="{00000000-0005-0000-0000-00003B030000}"/>
    <cellStyle name="표준 6 9 3" xfId="794" xr:uid="{00000000-0005-0000-0000-00003C030000}"/>
    <cellStyle name="표준 6 9 3 2" xfId="795" xr:uid="{00000000-0005-0000-0000-00003D030000}"/>
    <cellStyle name="표준 6 9 4" xfId="796" xr:uid="{00000000-0005-0000-0000-00003E030000}"/>
    <cellStyle name="표준 7" xfId="797" xr:uid="{00000000-0005-0000-0000-00003F030000}"/>
    <cellStyle name="표준 8" xfId="798" xr:uid="{00000000-0005-0000-0000-000040030000}"/>
    <cellStyle name="표준 8 2" xfId="799" xr:uid="{00000000-0005-0000-0000-000041030000}"/>
    <cellStyle name="표준 8 2 2" xfId="800" xr:uid="{00000000-0005-0000-0000-000042030000}"/>
    <cellStyle name="표준 8 2 2 2" xfId="801" xr:uid="{00000000-0005-0000-0000-000043030000}"/>
    <cellStyle name="표준 8 2 2 2 2" xfId="802" xr:uid="{00000000-0005-0000-0000-000044030000}"/>
    <cellStyle name="표준 8 2 2 2 2 2" xfId="803" xr:uid="{00000000-0005-0000-0000-000045030000}"/>
    <cellStyle name="표준 8 2 2 2 3" xfId="804" xr:uid="{00000000-0005-0000-0000-000046030000}"/>
    <cellStyle name="표준 8 2 2 3" xfId="805" xr:uid="{00000000-0005-0000-0000-000047030000}"/>
    <cellStyle name="표준 8 2 2 3 2" xfId="806" xr:uid="{00000000-0005-0000-0000-000048030000}"/>
    <cellStyle name="표준 8 2 2 4" xfId="807" xr:uid="{00000000-0005-0000-0000-000049030000}"/>
    <cellStyle name="표준 8 2 3" xfId="808" xr:uid="{00000000-0005-0000-0000-00004A030000}"/>
    <cellStyle name="표준 8 2 3 2" xfId="809" xr:uid="{00000000-0005-0000-0000-00004B030000}"/>
    <cellStyle name="표준 8 2 3 2 2" xfId="810" xr:uid="{00000000-0005-0000-0000-00004C030000}"/>
    <cellStyle name="표준 8 2 3 3" xfId="811" xr:uid="{00000000-0005-0000-0000-00004D030000}"/>
    <cellStyle name="표준 8 2 4" xfId="812" xr:uid="{00000000-0005-0000-0000-00004E030000}"/>
    <cellStyle name="표준 8 2 4 2" xfId="813" xr:uid="{00000000-0005-0000-0000-00004F030000}"/>
    <cellStyle name="표준 8 2 5" xfId="814" xr:uid="{00000000-0005-0000-0000-000050030000}"/>
    <cellStyle name="표준 8 3" xfId="815" xr:uid="{00000000-0005-0000-0000-000051030000}"/>
    <cellStyle name="표준 8 3 2" xfId="816" xr:uid="{00000000-0005-0000-0000-000052030000}"/>
    <cellStyle name="표준 8 3 2 2" xfId="817" xr:uid="{00000000-0005-0000-0000-000053030000}"/>
    <cellStyle name="표준 8 3 2 2 2" xfId="818" xr:uid="{00000000-0005-0000-0000-000054030000}"/>
    <cellStyle name="표준 8 3 2 3" xfId="819" xr:uid="{00000000-0005-0000-0000-000055030000}"/>
    <cellStyle name="표준 8 3 3" xfId="820" xr:uid="{00000000-0005-0000-0000-000056030000}"/>
    <cellStyle name="표준 8 3 3 2" xfId="821" xr:uid="{00000000-0005-0000-0000-000057030000}"/>
    <cellStyle name="표준 8 3 4" xfId="822" xr:uid="{00000000-0005-0000-0000-000058030000}"/>
    <cellStyle name="표준 8 4" xfId="823" xr:uid="{00000000-0005-0000-0000-000059030000}"/>
    <cellStyle name="표준 8 4 2" xfId="824" xr:uid="{00000000-0005-0000-0000-00005A030000}"/>
    <cellStyle name="표준 8 4 2 2" xfId="825" xr:uid="{00000000-0005-0000-0000-00005B030000}"/>
    <cellStyle name="표준 8 4 3" xfId="826" xr:uid="{00000000-0005-0000-0000-00005C030000}"/>
    <cellStyle name="표준 8 5" xfId="827" xr:uid="{00000000-0005-0000-0000-00005D030000}"/>
    <cellStyle name="표준 8 5 2" xfId="828" xr:uid="{00000000-0005-0000-0000-00005E030000}"/>
    <cellStyle name="표준 8 6" xfId="829" xr:uid="{00000000-0005-0000-0000-00005F030000}"/>
    <cellStyle name="표준 9" xfId="830" xr:uid="{00000000-0005-0000-0000-000060030000}"/>
    <cellStyle name="표준 9 2" xfId="831" xr:uid="{00000000-0005-0000-0000-000061030000}"/>
    <cellStyle name="표준 9 2 2" xfId="832" xr:uid="{00000000-0005-0000-0000-000062030000}"/>
    <cellStyle name="표준 9 2 2 2" xfId="833" xr:uid="{00000000-0005-0000-0000-000063030000}"/>
    <cellStyle name="표준 9 2 2 2 2" xfId="834" xr:uid="{00000000-0005-0000-0000-000064030000}"/>
    <cellStyle name="표준 9 2 2 2 2 2" xfId="835" xr:uid="{00000000-0005-0000-0000-000065030000}"/>
    <cellStyle name="표준 9 2 2 2 3" xfId="836" xr:uid="{00000000-0005-0000-0000-000066030000}"/>
    <cellStyle name="표준 9 2 2 3" xfId="837" xr:uid="{00000000-0005-0000-0000-000067030000}"/>
    <cellStyle name="표준 9 2 2 3 2" xfId="838" xr:uid="{00000000-0005-0000-0000-000068030000}"/>
    <cellStyle name="표준 9 2 2 4" xfId="839" xr:uid="{00000000-0005-0000-0000-000069030000}"/>
    <cellStyle name="표준 9 2 3" xfId="840" xr:uid="{00000000-0005-0000-0000-00006A030000}"/>
    <cellStyle name="표준 9 2 3 2" xfId="841" xr:uid="{00000000-0005-0000-0000-00006B030000}"/>
    <cellStyle name="표준 9 2 3 2 2" xfId="842" xr:uid="{00000000-0005-0000-0000-00006C030000}"/>
    <cellStyle name="표준 9 2 3 3" xfId="843" xr:uid="{00000000-0005-0000-0000-00006D030000}"/>
    <cellStyle name="표준 9 2 4" xfId="844" xr:uid="{00000000-0005-0000-0000-00006E030000}"/>
    <cellStyle name="표준 9 2 4 2" xfId="845" xr:uid="{00000000-0005-0000-0000-00006F030000}"/>
    <cellStyle name="표준 9 2 5" xfId="846" xr:uid="{00000000-0005-0000-0000-000070030000}"/>
    <cellStyle name="표준 9 3" xfId="847" xr:uid="{00000000-0005-0000-0000-000071030000}"/>
    <cellStyle name="표준 9 3 2" xfId="848" xr:uid="{00000000-0005-0000-0000-000072030000}"/>
    <cellStyle name="표준 9 3 2 2" xfId="849" xr:uid="{00000000-0005-0000-0000-000073030000}"/>
    <cellStyle name="표준 9 3 2 2 2" xfId="850" xr:uid="{00000000-0005-0000-0000-000074030000}"/>
    <cellStyle name="표준 9 3 2 3" xfId="851" xr:uid="{00000000-0005-0000-0000-000075030000}"/>
    <cellStyle name="표준 9 3 3" xfId="852" xr:uid="{00000000-0005-0000-0000-000076030000}"/>
    <cellStyle name="표준 9 3 3 2" xfId="853" xr:uid="{00000000-0005-0000-0000-000077030000}"/>
    <cellStyle name="표준 9 3 4" xfId="854" xr:uid="{00000000-0005-0000-0000-000078030000}"/>
    <cellStyle name="표준 9 4" xfId="855" xr:uid="{00000000-0005-0000-0000-000079030000}"/>
    <cellStyle name="표준 9 4 2" xfId="856" xr:uid="{00000000-0005-0000-0000-00007A030000}"/>
    <cellStyle name="표준 9 4 2 2" xfId="857" xr:uid="{00000000-0005-0000-0000-00007B030000}"/>
    <cellStyle name="표준 9 4 3" xfId="858" xr:uid="{00000000-0005-0000-0000-00007C030000}"/>
    <cellStyle name="표준 9 5" xfId="859" xr:uid="{00000000-0005-0000-0000-00007D030000}"/>
    <cellStyle name="표준 9 5 2" xfId="860" xr:uid="{00000000-0005-0000-0000-00007E030000}"/>
    <cellStyle name="표준 9 6" xfId="861" xr:uid="{00000000-0005-0000-0000-00007F030000}"/>
    <cellStyle name="표준_ANCHOR(16.7KN)" xfId="862" xr:uid="{00000000-0005-0000-0000-000080030000}"/>
    <cellStyle name="표준_경기도미술관" xfId="863" xr:uid="{00000000-0005-0000-0000-000081030000}"/>
    <cellStyle name="표준_보고서시작" xfId="864" xr:uid="{00000000-0005-0000-0000-000082030000}"/>
    <cellStyle name="표준_풍압계수산정(수압면적에따른)" xfId="865" xr:uid="{00000000-0005-0000-0000-000083030000}"/>
    <cellStyle name="하이퍼링크" xfId="901" builtinId="8"/>
  </cellStyles>
  <dxfs count="8">
    <dxf>
      <font>
        <b/>
        <i val="0"/>
        <color rgb="FFC00000"/>
      </font>
    </dxf>
    <dxf>
      <font>
        <b/>
        <i val="0"/>
        <u val="none"/>
        <color rgb="FFC00000"/>
      </font>
    </dxf>
    <dxf>
      <font>
        <u val="none"/>
      </font>
    </dxf>
    <dxf>
      <font>
        <color theme="1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colors>
    <mruColors>
      <color rgb="FF0000FF"/>
      <color rgb="FFFFFFCC"/>
      <color rgb="FFFFFF99"/>
      <color rgb="FFFF99CC"/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3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7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2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1.xml"/><Relationship Id="rId28" Type="http://schemas.openxmlformats.org/officeDocument/2006/relationships/externalLink" Target="externalLinks/externalLink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5.xml"/><Relationship Id="rId30" Type="http://schemas.openxmlformats.org/officeDocument/2006/relationships/externalLink" Target="externalLinks/externalLink8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emf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12.emf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8.emf"/><Relationship Id="rId1" Type="http://schemas.openxmlformats.org/officeDocument/2006/relationships/image" Target="../media/image9.emf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10.emf"/><Relationship Id="rId1" Type="http://schemas.openxmlformats.org/officeDocument/2006/relationships/image" Target="../media/image9.emf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9.emf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13.emf"/><Relationship Id="rId1" Type="http://schemas.openxmlformats.org/officeDocument/2006/relationships/image" Target="../media/image8.emf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10.emf"/><Relationship Id="rId1" Type="http://schemas.openxmlformats.org/officeDocument/2006/relationships/image" Target="../media/image13.emf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14.pn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8.emf"/><Relationship Id="rId1" Type="http://schemas.openxmlformats.org/officeDocument/2006/relationships/image" Target="../media/image7.emf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emf"/><Relationship Id="rId2" Type="http://schemas.openxmlformats.org/officeDocument/2006/relationships/image" Target="../media/image8.emf"/><Relationship Id="rId1" Type="http://schemas.openxmlformats.org/officeDocument/2006/relationships/image" Target="../media/image7.emf"/><Relationship Id="rId4" Type="http://schemas.openxmlformats.org/officeDocument/2006/relationships/image" Target="../media/image6.pn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7.emf"/><Relationship Id="rId1" Type="http://schemas.openxmlformats.org/officeDocument/2006/relationships/image" Target="../media/image1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emf"/><Relationship Id="rId2" Type="http://schemas.openxmlformats.org/officeDocument/2006/relationships/image" Target="../media/image11.emf"/><Relationship Id="rId1" Type="http://schemas.openxmlformats.org/officeDocument/2006/relationships/image" Target="../media/image7.emf"/><Relationship Id="rId4" Type="http://schemas.openxmlformats.org/officeDocument/2006/relationships/image" Target="../media/image6.pn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8.emf"/><Relationship Id="rId1" Type="http://schemas.openxmlformats.org/officeDocument/2006/relationships/image" Target="../media/image9.emf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13.emf"/><Relationship Id="rId1" Type="http://schemas.openxmlformats.org/officeDocument/2006/relationships/image" Target="../media/image8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8.emf"/><Relationship Id="rId1" Type="http://schemas.openxmlformats.org/officeDocument/2006/relationships/image" Target="../media/image7.emf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emf"/><Relationship Id="rId2" Type="http://schemas.openxmlformats.org/officeDocument/2006/relationships/image" Target="../media/image8.emf"/><Relationship Id="rId1" Type="http://schemas.openxmlformats.org/officeDocument/2006/relationships/image" Target="../media/image7.emf"/><Relationship Id="rId4" Type="http://schemas.openxmlformats.org/officeDocument/2006/relationships/image" Target="../media/image6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10.emf"/><Relationship Id="rId1" Type="http://schemas.openxmlformats.org/officeDocument/2006/relationships/image" Target="../media/image7.emf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emf"/><Relationship Id="rId2" Type="http://schemas.openxmlformats.org/officeDocument/2006/relationships/image" Target="../media/image10.emf"/><Relationship Id="rId1" Type="http://schemas.openxmlformats.org/officeDocument/2006/relationships/image" Target="../media/image7.emf"/><Relationship Id="rId4" Type="http://schemas.openxmlformats.org/officeDocument/2006/relationships/image" Target="../media/image6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7.emf"/><Relationship Id="rId1" Type="http://schemas.openxmlformats.org/officeDocument/2006/relationships/image" Target="../media/image11.emf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emf"/><Relationship Id="rId2" Type="http://schemas.openxmlformats.org/officeDocument/2006/relationships/image" Target="../media/image11.emf"/><Relationship Id="rId1" Type="http://schemas.openxmlformats.org/officeDocument/2006/relationships/image" Target="../media/image7.emf"/><Relationship Id="rId4" Type="http://schemas.openxmlformats.org/officeDocument/2006/relationships/image" Target="../media/image6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603739</xdr:colOff>
      <xdr:row>54</xdr:row>
      <xdr:rowOff>76200</xdr:rowOff>
    </xdr:from>
    <xdr:to>
      <xdr:col>9</xdr:col>
      <xdr:colOff>546589</xdr:colOff>
      <xdr:row>65</xdr:row>
      <xdr:rowOff>28574</xdr:rowOff>
    </xdr:to>
    <xdr:grpSp>
      <xdr:nvGrpSpPr>
        <xdr:cNvPr id="2" name="그룹 26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>
          <a:grpSpLocks/>
        </xdr:cNvGrpSpPr>
      </xdr:nvGrpSpPr>
      <xdr:grpSpPr bwMode="auto">
        <a:xfrm>
          <a:off x="3626339" y="11252200"/>
          <a:ext cx="1847850" cy="2187574"/>
          <a:chOff x="3593224" y="4624552"/>
          <a:chExt cx="1833268" cy="2124000"/>
        </a:xfrm>
      </xdr:grpSpPr>
      <xdr:pic>
        <xdr:nvPicPr>
          <xdr:cNvPr id="3" name="Picture 4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593224" y="4624552"/>
            <a:ext cx="1833268" cy="21240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cxnSp macro="">
        <xdr:nvCxnSpPr>
          <xdr:cNvPr id="4" name="직선 화살표 연결선 11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CxnSpPr>
            <a:cxnSpLocks noChangeShapeType="1"/>
          </xdr:cNvCxnSpPr>
        </xdr:nvCxnSpPr>
        <xdr:spPr bwMode="auto">
          <a:xfrm flipH="1" flipV="1">
            <a:off x="4820963" y="5161570"/>
            <a:ext cx="369659" cy="81649"/>
          </a:xfrm>
          <a:prstGeom prst="straightConnector1">
            <a:avLst/>
          </a:prstGeom>
          <a:noFill/>
          <a:ln w="9525" algn="ctr">
            <a:solidFill>
              <a:srgbClr val="000000"/>
            </a:solidFill>
            <a:round/>
            <a:headEnd/>
            <a:tailEnd type="stealth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5" name="직선 화살표 연결선 12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CxnSpPr>
            <a:cxnSpLocks noChangeShapeType="1"/>
          </xdr:cNvCxnSpPr>
        </xdr:nvCxnSpPr>
        <xdr:spPr bwMode="auto">
          <a:xfrm flipH="1" flipV="1">
            <a:off x="4500473" y="5207656"/>
            <a:ext cx="592375" cy="238230"/>
          </a:xfrm>
          <a:prstGeom prst="straightConnector1">
            <a:avLst/>
          </a:prstGeom>
          <a:noFill/>
          <a:ln w="9525" algn="ctr">
            <a:solidFill>
              <a:srgbClr val="000000"/>
            </a:solidFill>
            <a:round/>
            <a:headEnd/>
            <a:tailEnd type="stealth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32</xdr:row>
          <xdr:rowOff>57150</xdr:rowOff>
        </xdr:from>
        <xdr:to>
          <xdr:col>5</xdr:col>
          <xdr:colOff>85725</xdr:colOff>
          <xdr:row>43</xdr:row>
          <xdr:rowOff>152400</xdr:rowOff>
        </xdr:to>
        <xdr:sp macro="" textlink="">
          <xdr:nvSpPr>
            <xdr:cNvPr id="143361" name="Object 12" hidden="1">
              <a:extLst>
                <a:ext uri="{63B3BB69-23CF-44E3-9099-C40C66FF867C}">
                  <a14:compatExt spid="_x0000_s143361"/>
                </a:ext>
                <a:ext uri="{FF2B5EF4-FFF2-40B4-BE49-F238E27FC236}">
                  <a16:creationId xmlns:a16="http://schemas.microsoft.com/office/drawing/2014/main" id="{00000000-0008-0000-0000-0000013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7</xdr:col>
      <xdr:colOff>0</xdr:colOff>
      <xdr:row>32</xdr:row>
      <xdr:rowOff>197826</xdr:rowOff>
    </xdr:from>
    <xdr:ext cx="3111600" cy="2106866"/>
    <xdr:pic>
      <xdr:nvPicPr>
        <xdr:cNvPr id="6" name="그림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9500" y="6798651"/>
          <a:ext cx="3111600" cy="2106866"/>
        </a:xfrm>
        <a:prstGeom prst="rect">
          <a:avLst/>
        </a:prstGeom>
      </xdr:spPr>
    </xdr:pic>
    <xdr:clientData/>
  </xdr:oneCellAnchor>
  <xdr:twoCellAnchor>
    <xdr:from>
      <xdr:col>1</xdr:col>
      <xdr:colOff>0</xdr:colOff>
      <xdr:row>0</xdr:row>
      <xdr:rowOff>367862</xdr:rowOff>
    </xdr:from>
    <xdr:to>
      <xdr:col>12</xdr:col>
      <xdr:colOff>47625</xdr:colOff>
      <xdr:row>1</xdr:row>
      <xdr:rowOff>49924</xdr:rowOff>
    </xdr:to>
    <xdr:grpSp>
      <xdr:nvGrpSpPr>
        <xdr:cNvPr id="7" name="그룹 14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pSpPr>
          <a:grpSpLocks/>
        </xdr:cNvGrpSpPr>
      </xdr:nvGrpSpPr>
      <xdr:grpSpPr bwMode="auto">
        <a:xfrm>
          <a:off x="241300" y="367862"/>
          <a:ext cx="6461125" cy="88462"/>
          <a:chOff x="236963" y="752128"/>
          <a:chExt cx="6321635" cy="92637"/>
        </a:xfrm>
      </xdr:grpSpPr>
      <xdr:cxnSp macro="">
        <xdr:nvCxnSpPr>
          <xdr:cNvPr id="8" name="직선 연결선 15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236963" y="799171"/>
            <a:ext cx="6264430" cy="0"/>
          </a:xfrm>
          <a:prstGeom prst="line">
            <a:avLst/>
          </a:prstGeom>
          <a:noFill/>
          <a:ln w="19050" algn="ctr">
            <a:solidFill>
              <a:srgbClr val="FF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sp macro="" textlink="">
        <xdr:nvSpPr>
          <xdr:cNvPr id="9" name="순서도: 연결자 8">
            <a:extLst>
              <a:ext uri="{FF2B5EF4-FFF2-40B4-BE49-F238E27FC236}">
                <a16:creationId xmlns:a16="http://schemas.microsoft.com/office/drawing/2014/main" id="{00000000-0008-0000-0000-000009000000}"/>
              </a:ext>
            </a:extLst>
          </xdr:cNvPr>
          <xdr:cNvSpPr/>
        </xdr:nvSpPr>
        <xdr:spPr bwMode="auto">
          <a:xfrm>
            <a:off x="6473933" y="752128"/>
            <a:ext cx="84665" cy="92637"/>
          </a:xfrm>
          <a:prstGeom prst="flowChartConnector">
            <a:avLst/>
          </a:prstGeom>
          <a:solidFill>
            <a:srgbClr val="FF0000"/>
          </a:solidFill>
          <a:ln w="12700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wrap="square" lIns="18288" tIns="0" rIns="0" bIns="0" rtlCol="0" anchor="ctr" upright="1"/>
          <a:lstStyle/>
          <a:p>
            <a:pPr algn="ctr"/>
            <a:endParaRPr lang="ko-KR" altLang="en-US" sz="1200" b="1">
              <a:latin typeface="맑은 고딕" pitchFamily="50" charset="-127"/>
              <a:ea typeface="맑은 고딕" pitchFamily="50" charset="-127"/>
            </a:endParaRPr>
          </a:p>
        </xdr:txBody>
      </xdr:sp>
    </xdr:grp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297</xdr:row>
      <xdr:rowOff>161925</xdr:rowOff>
    </xdr:from>
    <xdr:to>
      <xdr:col>3</xdr:col>
      <xdr:colOff>0</xdr:colOff>
      <xdr:row>297</xdr:row>
      <xdr:rowOff>161925</xdr:rowOff>
    </xdr:to>
    <xdr:sp macro="" textlink="">
      <xdr:nvSpPr>
        <xdr:cNvPr id="2" name="Line 850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ShapeType="1"/>
        </xdr:cNvSpPr>
      </xdr:nvSpPr>
      <xdr:spPr bwMode="auto">
        <a:xfrm flipH="1">
          <a:off x="1628775" y="61360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89</xdr:row>
      <xdr:rowOff>161925</xdr:rowOff>
    </xdr:from>
    <xdr:to>
      <xdr:col>4</xdr:col>
      <xdr:colOff>0</xdr:colOff>
      <xdr:row>89</xdr:row>
      <xdr:rowOff>161925</xdr:rowOff>
    </xdr:to>
    <xdr:sp macro="" textlink="">
      <xdr:nvSpPr>
        <xdr:cNvPr id="9" name="Line 843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>
          <a:spLocks noChangeShapeType="1"/>
        </xdr:cNvSpPr>
      </xdr:nvSpPr>
      <xdr:spPr bwMode="auto">
        <a:xfrm flipH="1">
          <a:off x="2324100" y="1796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89</xdr:row>
      <xdr:rowOff>161925</xdr:rowOff>
    </xdr:from>
    <xdr:to>
      <xdr:col>4</xdr:col>
      <xdr:colOff>0</xdr:colOff>
      <xdr:row>89</xdr:row>
      <xdr:rowOff>161925</xdr:rowOff>
    </xdr:to>
    <xdr:sp macro="" textlink="">
      <xdr:nvSpPr>
        <xdr:cNvPr id="10" name="Line 844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SpPr>
          <a:spLocks noChangeShapeType="1"/>
        </xdr:cNvSpPr>
      </xdr:nvSpPr>
      <xdr:spPr bwMode="auto">
        <a:xfrm flipH="1">
          <a:off x="2324100" y="1796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</xdr:col>
      <xdr:colOff>13139</xdr:colOff>
      <xdr:row>30</xdr:row>
      <xdr:rowOff>104486</xdr:rowOff>
    </xdr:from>
    <xdr:to>
      <xdr:col>2</xdr:col>
      <xdr:colOff>829</xdr:colOff>
      <xdr:row>33</xdr:row>
      <xdr:rowOff>109912</xdr:rowOff>
    </xdr:to>
    <xdr:pic>
      <xdr:nvPicPr>
        <xdr:cNvPr id="13" name="그림 12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1264" y="6105236"/>
          <a:ext cx="683015" cy="6055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7395</xdr:colOff>
      <xdr:row>22</xdr:row>
      <xdr:rowOff>52388</xdr:rowOff>
    </xdr:from>
    <xdr:to>
      <xdr:col>1</xdr:col>
      <xdr:colOff>86937</xdr:colOff>
      <xdr:row>22</xdr:row>
      <xdr:rowOff>52388</xdr:rowOff>
    </xdr:to>
    <xdr:cxnSp macro="">
      <xdr:nvCxnSpPr>
        <xdr:cNvPr id="14" name="직선 연결선 13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CxnSpPr/>
      </xdr:nvCxnSpPr>
      <xdr:spPr bwMode="auto">
        <a:xfrm>
          <a:off x="245520" y="4452938"/>
          <a:ext cx="79542" cy="0"/>
        </a:xfrm>
        <a:prstGeom prst="line">
          <a:avLst/>
        </a:prstGeom>
        <a:noFill/>
        <a:ln w="635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1</xdr:col>
      <xdr:colOff>7395</xdr:colOff>
      <xdr:row>23</xdr:row>
      <xdr:rowOff>52388</xdr:rowOff>
    </xdr:from>
    <xdr:to>
      <xdr:col>1</xdr:col>
      <xdr:colOff>86937</xdr:colOff>
      <xdr:row>23</xdr:row>
      <xdr:rowOff>52388</xdr:rowOff>
    </xdr:to>
    <xdr:cxnSp macro="">
      <xdr:nvCxnSpPr>
        <xdr:cNvPr id="15" name="직선 연결선 14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CxnSpPr/>
      </xdr:nvCxnSpPr>
      <xdr:spPr bwMode="auto">
        <a:xfrm>
          <a:off x="245520" y="4652963"/>
          <a:ext cx="79542" cy="0"/>
        </a:xfrm>
        <a:prstGeom prst="line">
          <a:avLst/>
        </a:prstGeom>
        <a:noFill/>
        <a:ln w="635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508000</xdr:colOff>
      <xdr:row>2</xdr:row>
      <xdr:rowOff>64270</xdr:rowOff>
    </xdr:to>
    <xdr:pic>
      <xdr:nvPicPr>
        <xdr:cNvPr id="3" name="그림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5635" t="-23286"/>
        <a:stretch/>
      </xdr:blipFill>
      <xdr:spPr>
        <a:xfrm>
          <a:off x="4432300" y="0"/>
          <a:ext cx="1905000" cy="47067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74</xdr:row>
      <xdr:rowOff>161925</xdr:rowOff>
    </xdr:from>
    <xdr:to>
      <xdr:col>3</xdr:col>
      <xdr:colOff>0</xdr:colOff>
      <xdr:row>74</xdr:row>
      <xdr:rowOff>161925</xdr:rowOff>
    </xdr:to>
    <xdr:sp macro="" textlink="">
      <xdr:nvSpPr>
        <xdr:cNvPr id="6" name="Line 210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SpPr>
          <a:spLocks noChangeShapeType="1"/>
        </xdr:cNvSpPr>
      </xdr:nvSpPr>
      <xdr:spPr bwMode="auto">
        <a:xfrm flipH="1">
          <a:off x="1323975" y="14963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2</xdr:col>
      <xdr:colOff>197826</xdr:colOff>
      <xdr:row>21</xdr:row>
      <xdr:rowOff>168519</xdr:rowOff>
    </xdr:from>
    <xdr:to>
      <xdr:col>4</xdr:col>
      <xdr:colOff>294542</xdr:colOff>
      <xdr:row>32</xdr:row>
      <xdr:rowOff>168519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A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4601" y="4369044"/>
          <a:ext cx="1354016" cy="2200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131885</xdr:colOff>
      <xdr:row>25</xdr:row>
      <xdr:rowOff>124559</xdr:rowOff>
    </xdr:from>
    <xdr:to>
      <xdr:col>10</xdr:col>
      <xdr:colOff>491423</xdr:colOff>
      <xdr:row>40</xdr:row>
      <xdr:rowOff>196192</xdr:rowOff>
    </xdr:to>
    <xdr:pic>
      <xdr:nvPicPr>
        <xdr:cNvPr id="10" name="그림 9">
          <a:extLst>
            <a:ext uri="{FF2B5EF4-FFF2-40B4-BE49-F238E27FC236}">
              <a16:creationId xmlns:a16="http://schemas.microsoft.com/office/drawing/2014/main" id="{00000000-0008-0000-0A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13260" y="5125184"/>
          <a:ext cx="2874138" cy="30720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11</xdr:col>
      <xdr:colOff>12700</xdr:colOff>
      <xdr:row>2</xdr:row>
      <xdr:rowOff>64270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5635" t="-23286"/>
        <a:stretch/>
      </xdr:blipFill>
      <xdr:spPr>
        <a:xfrm>
          <a:off x="4660900" y="0"/>
          <a:ext cx="1905000" cy="47067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74</xdr:row>
      <xdr:rowOff>161925</xdr:rowOff>
    </xdr:from>
    <xdr:to>
      <xdr:col>3</xdr:col>
      <xdr:colOff>0</xdr:colOff>
      <xdr:row>74</xdr:row>
      <xdr:rowOff>161925</xdr:rowOff>
    </xdr:to>
    <xdr:sp macro="" textlink="">
      <xdr:nvSpPr>
        <xdr:cNvPr id="2" name="Line 210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>
          <a:spLocks noChangeShapeType="1"/>
        </xdr:cNvSpPr>
      </xdr:nvSpPr>
      <xdr:spPr bwMode="auto">
        <a:xfrm flipH="1">
          <a:off x="1323975" y="14963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2</xdr:col>
      <xdr:colOff>197826</xdr:colOff>
      <xdr:row>21</xdr:row>
      <xdr:rowOff>168519</xdr:rowOff>
    </xdr:from>
    <xdr:to>
      <xdr:col>4</xdr:col>
      <xdr:colOff>294542</xdr:colOff>
      <xdr:row>32</xdr:row>
      <xdr:rowOff>168519</xdr:rowOff>
    </xdr:to>
    <xdr:pic>
      <xdr:nvPicPr>
        <xdr:cNvPr id="4" name="Picture 8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4601" y="4369044"/>
          <a:ext cx="1354016" cy="2200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161192</xdr:colOff>
      <xdr:row>24</xdr:row>
      <xdr:rowOff>109904</xdr:rowOff>
    </xdr:from>
    <xdr:to>
      <xdr:col>10</xdr:col>
      <xdr:colOff>528058</xdr:colOff>
      <xdr:row>39</xdr:row>
      <xdr:rowOff>189497</xdr:rowOff>
    </xdr:to>
    <xdr:pic>
      <xdr:nvPicPr>
        <xdr:cNvPr id="8" name="그림 7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38904" y="4857750"/>
          <a:ext cx="2880000" cy="30469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11</xdr:col>
      <xdr:colOff>12700</xdr:colOff>
      <xdr:row>2</xdr:row>
      <xdr:rowOff>64270</xdr:rowOff>
    </xdr:to>
    <xdr:pic>
      <xdr:nvPicPr>
        <xdr:cNvPr id="3" name="그림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5635" t="-23286"/>
        <a:stretch/>
      </xdr:blipFill>
      <xdr:spPr>
        <a:xfrm>
          <a:off x="4660900" y="0"/>
          <a:ext cx="1905000" cy="47067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251</xdr:row>
      <xdr:rowOff>161925</xdr:rowOff>
    </xdr:from>
    <xdr:to>
      <xdr:col>3</xdr:col>
      <xdr:colOff>0</xdr:colOff>
      <xdr:row>251</xdr:row>
      <xdr:rowOff>161925</xdr:rowOff>
    </xdr:to>
    <xdr:sp macro="" textlink="">
      <xdr:nvSpPr>
        <xdr:cNvPr id="2" name="Line 850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>
          <a:spLocks noChangeShapeType="1"/>
        </xdr:cNvSpPr>
      </xdr:nvSpPr>
      <xdr:spPr bwMode="auto">
        <a:xfrm flipH="1">
          <a:off x="1628775" y="52158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89</xdr:row>
      <xdr:rowOff>161925</xdr:rowOff>
    </xdr:from>
    <xdr:to>
      <xdr:col>4</xdr:col>
      <xdr:colOff>0</xdr:colOff>
      <xdr:row>89</xdr:row>
      <xdr:rowOff>161925</xdr:rowOff>
    </xdr:to>
    <xdr:sp macro="" textlink="">
      <xdr:nvSpPr>
        <xdr:cNvPr id="7" name="Line 843">
          <a:extLst>
            <a:ext uri="{FF2B5EF4-FFF2-40B4-BE49-F238E27FC236}">
              <a16:creationId xmlns:a16="http://schemas.microsoft.com/office/drawing/2014/main" id="{00000000-0008-0000-0C00-000007000000}"/>
            </a:ext>
          </a:extLst>
        </xdr:cNvPr>
        <xdr:cNvSpPr>
          <a:spLocks noChangeShapeType="1"/>
        </xdr:cNvSpPr>
      </xdr:nvSpPr>
      <xdr:spPr bwMode="auto">
        <a:xfrm flipH="1">
          <a:off x="2324100" y="1796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89</xdr:row>
      <xdr:rowOff>161925</xdr:rowOff>
    </xdr:from>
    <xdr:to>
      <xdr:col>4</xdr:col>
      <xdr:colOff>0</xdr:colOff>
      <xdr:row>89</xdr:row>
      <xdr:rowOff>161925</xdr:rowOff>
    </xdr:to>
    <xdr:sp macro="" textlink="">
      <xdr:nvSpPr>
        <xdr:cNvPr id="8" name="Line 844">
          <a:extLst>
            <a:ext uri="{FF2B5EF4-FFF2-40B4-BE49-F238E27FC236}">
              <a16:creationId xmlns:a16="http://schemas.microsoft.com/office/drawing/2014/main" id="{00000000-0008-0000-0C00-000008000000}"/>
            </a:ext>
          </a:extLst>
        </xdr:cNvPr>
        <xdr:cNvSpPr>
          <a:spLocks noChangeShapeType="1"/>
        </xdr:cNvSpPr>
      </xdr:nvSpPr>
      <xdr:spPr bwMode="auto">
        <a:xfrm flipH="1">
          <a:off x="2324100" y="1796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7395</xdr:colOff>
      <xdr:row>22</xdr:row>
      <xdr:rowOff>52388</xdr:rowOff>
    </xdr:from>
    <xdr:to>
      <xdr:col>1</xdr:col>
      <xdr:colOff>86937</xdr:colOff>
      <xdr:row>22</xdr:row>
      <xdr:rowOff>52388</xdr:rowOff>
    </xdr:to>
    <xdr:cxnSp macro="">
      <xdr:nvCxnSpPr>
        <xdr:cNvPr id="11" name="직선 연결선 10">
          <a:extLst>
            <a:ext uri="{FF2B5EF4-FFF2-40B4-BE49-F238E27FC236}">
              <a16:creationId xmlns:a16="http://schemas.microsoft.com/office/drawing/2014/main" id="{00000000-0008-0000-0C00-00000B000000}"/>
            </a:ext>
          </a:extLst>
        </xdr:cNvPr>
        <xdr:cNvCxnSpPr/>
      </xdr:nvCxnSpPr>
      <xdr:spPr bwMode="auto">
        <a:xfrm>
          <a:off x="245520" y="4452938"/>
          <a:ext cx="79542" cy="0"/>
        </a:xfrm>
        <a:prstGeom prst="line">
          <a:avLst/>
        </a:prstGeom>
        <a:noFill/>
        <a:ln w="635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1</xdr:col>
      <xdr:colOff>7395</xdr:colOff>
      <xdr:row>23</xdr:row>
      <xdr:rowOff>52388</xdr:rowOff>
    </xdr:from>
    <xdr:to>
      <xdr:col>1</xdr:col>
      <xdr:colOff>86937</xdr:colOff>
      <xdr:row>23</xdr:row>
      <xdr:rowOff>52388</xdr:rowOff>
    </xdr:to>
    <xdr:cxnSp macro="">
      <xdr:nvCxnSpPr>
        <xdr:cNvPr id="12" name="직선 연결선 11">
          <a:extLst>
            <a:ext uri="{FF2B5EF4-FFF2-40B4-BE49-F238E27FC236}">
              <a16:creationId xmlns:a16="http://schemas.microsoft.com/office/drawing/2014/main" id="{00000000-0008-0000-0C00-00000C000000}"/>
            </a:ext>
          </a:extLst>
        </xdr:cNvPr>
        <xdr:cNvCxnSpPr/>
      </xdr:nvCxnSpPr>
      <xdr:spPr bwMode="auto">
        <a:xfrm>
          <a:off x="245520" y="4652963"/>
          <a:ext cx="79542" cy="0"/>
        </a:xfrm>
        <a:prstGeom prst="line">
          <a:avLst/>
        </a:prstGeom>
        <a:noFill/>
        <a:ln w="635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 editAs="oneCell">
    <xdr:from>
      <xdr:col>15</xdr:col>
      <xdr:colOff>537032</xdr:colOff>
      <xdr:row>17</xdr:row>
      <xdr:rowOff>42752</xdr:rowOff>
    </xdr:from>
    <xdr:to>
      <xdr:col>19</xdr:col>
      <xdr:colOff>305118</xdr:colOff>
      <xdr:row>24</xdr:row>
      <xdr:rowOff>6945</xdr:rowOff>
    </xdr:to>
    <xdr:pic>
      <xdr:nvPicPr>
        <xdr:cNvPr id="14" name="Picture 8">
          <a:extLst>
            <a:ext uri="{FF2B5EF4-FFF2-40B4-BE49-F238E27FC236}">
              <a16:creationId xmlns:a16="http://schemas.microsoft.com/office/drawing/2014/main" id="{00000000-0008-0000-0C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10808804" y="3006588"/>
          <a:ext cx="1355672" cy="21866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304800</xdr:colOff>
      <xdr:row>0</xdr:row>
      <xdr:rowOff>0</xdr:rowOff>
    </xdr:from>
    <xdr:to>
      <xdr:col>10</xdr:col>
      <xdr:colOff>114300</xdr:colOff>
      <xdr:row>2</xdr:row>
      <xdr:rowOff>64270</xdr:rowOff>
    </xdr:to>
    <xdr:pic>
      <xdr:nvPicPr>
        <xdr:cNvPr id="3" name="그림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5635" t="-23286"/>
        <a:stretch/>
      </xdr:blipFill>
      <xdr:spPr>
        <a:xfrm>
          <a:off x="4737100" y="0"/>
          <a:ext cx="1905000" cy="47067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74</xdr:row>
      <xdr:rowOff>161925</xdr:rowOff>
    </xdr:from>
    <xdr:to>
      <xdr:col>3</xdr:col>
      <xdr:colOff>0</xdr:colOff>
      <xdr:row>74</xdr:row>
      <xdr:rowOff>161925</xdr:rowOff>
    </xdr:to>
    <xdr:sp macro="" textlink="">
      <xdr:nvSpPr>
        <xdr:cNvPr id="2" name="Line 210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>
          <a:spLocks noChangeShapeType="1"/>
        </xdr:cNvSpPr>
      </xdr:nvSpPr>
      <xdr:spPr bwMode="auto">
        <a:xfrm flipH="1">
          <a:off x="1323975" y="14963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6</xdr:col>
      <xdr:colOff>131885</xdr:colOff>
      <xdr:row>25</xdr:row>
      <xdr:rowOff>124559</xdr:rowOff>
    </xdr:from>
    <xdr:to>
      <xdr:col>10</xdr:col>
      <xdr:colOff>491423</xdr:colOff>
      <xdr:row>40</xdr:row>
      <xdr:rowOff>196192</xdr:rowOff>
    </xdr:to>
    <xdr:pic>
      <xdr:nvPicPr>
        <xdr:cNvPr id="5" name="그림 4">
          <a:extLst>
            <a:ext uri="{FF2B5EF4-FFF2-40B4-BE49-F238E27FC236}">
              <a16:creationId xmlns:a16="http://schemas.microsoft.com/office/drawing/2014/main" id="{00000000-0008-0000-0D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13260" y="5125184"/>
          <a:ext cx="2874138" cy="30720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454270</xdr:colOff>
      <xdr:row>21</xdr:row>
      <xdr:rowOff>51289</xdr:rowOff>
    </xdr:from>
    <xdr:to>
      <xdr:col>4</xdr:col>
      <xdr:colOff>311623</xdr:colOff>
      <xdr:row>31</xdr:row>
      <xdr:rowOff>175845</xdr:rowOff>
    </xdr:to>
    <xdr:pic>
      <xdr:nvPicPr>
        <xdr:cNvPr id="6" name="그림 5">
          <a:extLst>
            <a:ext uri="{FF2B5EF4-FFF2-40B4-BE49-F238E27FC236}">
              <a16:creationId xmlns:a16="http://schemas.microsoft.com/office/drawing/2014/main" id="{00000000-0008-0000-0D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395" y="4251814"/>
          <a:ext cx="1743303" cy="21248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11</xdr:col>
      <xdr:colOff>12700</xdr:colOff>
      <xdr:row>2</xdr:row>
      <xdr:rowOff>64270</xdr:rowOff>
    </xdr:to>
    <xdr:pic>
      <xdr:nvPicPr>
        <xdr:cNvPr id="3" name="그림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5635" t="-23286"/>
        <a:stretch/>
      </xdr:blipFill>
      <xdr:spPr>
        <a:xfrm>
          <a:off x="4660900" y="0"/>
          <a:ext cx="1905000" cy="47067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74</xdr:row>
      <xdr:rowOff>161925</xdr:rowOff>
    </xdr:from>
    <xdr:to>
      <xdr:col>3</xdr:col>
      <xdr:colOff>0</xdr:colOff>
      <xdr:row>74</xdr:row>
      <xdr:rowOff>161925</xdr:rowOff>
    </xdr:to>
    <xdr:sp macro="" textlink="">
      <xdr:nvSpPr>
        <xdr:cNvPr id="2" name="Line 210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SpPr>
          <a:spLocks noChangeShapeType="1"/>
        </xdr:cNvSpPr>
      </xdr:nvSpPr>
      <xdr:spPr bwMode="auto">
        <a:xfrm flipH="1">
          <a:off x="1323975" y="14963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</xdr:col>
      <xdr:colOff>454270</xdr:colOff>
      <xdr:row>21</xdr:row>
      <xdr:rowOff>51289</xdr:rowOff>
    </xdr:from>
    <xdr:to>
      <xdr:col>4</xdr:col>
      <xdr:colOff>311623</xdr:colOff>
      <xdr:row>31</xdr:row>
      <xdr:rowOff>175845</xdr:rowOff>
    </xdr:to>
    <xdr:pic>
      <xdr:nvPicPr>
        <xdr:cNvPr id="5" name="그림 4">
          <a:extLst>
            <a:ext uri="{FF2B5EF4-FFF2-40B4-BE49-F238E27FC236}">
              <a16:creationId xmlns:a16="http://schemas.microsoft.com/office/drawing/2014/main" id="{00000000-0008-0000-0E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395" y="4251814"/>
          <a:ext cx="1743303" cy="21248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139211</xdr:colOff>
      <xdr:row>24</xdr:row>
      <xdr:rowOff>117231</xdr:rowOff>
    </xdr:from>
    <xdr:to>
      <xdr:col>10</xdr:col>
      <xdr:colOff>506077</xdr:colOff>
      <xdr:row>39</xdr:row>
      <xdr:rowOff>196824</xdr:rowOff>
    </xdr:to>
    <xdr:pic>
      <xdr:nvPicPr>
        <xdr:cNvPr id="7" name="그림 6">
          <a:extLst>
            <a:ext uri="{FF2B5EF4-FFF2-40B4-BE49-F238E27FC236}">
              <a16:creationId xmlns:a16="http://schemas.microsoft.com/office/drawing/2014/main" id="{00000000-0008-0000-0E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16923" y="4865077"/>
          <a:ext cx="2880000" cy="30469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0</xdr:colOff>
      <xdr:row>74</xdr:row>
      <xdr:rowOff>161925</xdr:rowOff>
    </xdr:from>
    <xdr:to>
      <xdr:col>3</xdr:col>
      <xdr:colOff>0</xdr:colOff>
      <xdr:row>74</xdr:row>
      <xdr:rowOff>161925</xdr:rowOff>
    </xdr:to>
    <xdr:sp macro="" textlink="">
      <xdr:nvSpPr>
        <xdr:cNvPr id="8" name="Line 210">
          <a:extLst>
            <a:ext uri="{FF2B5EF4-FFF2-40B4-BE49-F238E27FC236}">
              <a16:creationId xmlns:a16="http://schemas.microsoft.com/office/drawing/2014/main" id="{00000000-0008-0000-0E00-000008000000}"/>
            </a:ext>
          </a:extLst>
        </xdr:cNvPr>
        <xdr:cNvSpPr>
          <a:spLocks noChangeShapeType="1"/>
        </xdr:cNvSpPr>
      </xdr:nvSpPr>
      <xdr:spPr bwMode="auto">
        <a:xfrm flipH="1">
          <a:off x="1323975" y="14963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11</xdr:col>
      <xdr:colOff>12700</xdr:colOff>
      <xdr:row>2</xdr:row>
      <xdr:rowOff>64270</xdr:rowOff>
    </xdr:to>
    <xdr:pic>
      <xdr:nvPicPr>
        <xdr:cNvPr id="3" name="그림 2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5635" t="-23286"/>
        <a:stretch/>
      </xdr:blipFill>
      <xdr:spPr>
        <a:xfrm>
          <a:off x="4660900" y="0"/>
          <a:ext cx="1905000" cy="47067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367862</xdr:rowOff>
    </xdr:from>
    <xdr:to>
      <xdr:col>12</xdr:col>
      <xdr:colOff>47625</xdr:colOff>
      <xdr:row>1</xdr:row>
      <xdr:rowOff>49924</xdr:rowOff>
    </xdr:to>
    <xdr:grpSp>
      <xdr:nvGrpSpPr>
        <xdr:cNvPr id="2" name="그룹 14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GrpSpPr>
          <a:grpSpLocks/>
        </xdr:cNvGrpSpPr>
      </xdr:nvGrpSpPr>
      <xdr:grpSpPr bwMode="auto">
        <a:xfrm>
          <a:off x="241300" y="367862"/>
          <a:ext cx="6461125" cy="88462"/>
          <a:chOff x="236963" y="752128"/>
          <a:chExt cx="6321635" cy="92637"/>
        </a:xfrm>
      </xdr:grpSpPr>
      <xdr:cxnSp macro="">
        <xdr:nvCxnSpPr>
          <xdr:cNvPr id="3" name="직선 연결선 15">
            <a:extLst>
              <a:ext uri="{FF2B5EF4-FFF2-40B4-BE49-F238E27FC236}">
                <a16:creationId xmlns:a16="http://schemas.microsoft.com/office/drawing/2014/main" id="{00000000-0008-0000-0F00-000003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236963" y="799171"/>
            <a:ext cx="6264430" cy="0"/>
          </a:xfrm>
          <a:prstGeom prst="line">
            <a:avLst/>
          </a:prstGeom>
          <a:noFill/>
          <a:ln w="19050" algn="ctr">
            <a:solidFill>
              <a:srgbClr val="FF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sp macro="" textlink="">
        <xdr:nvSpPr>
          <xdr:cNvPr id="4" name="순서도: 연결자 3">
            <a:extLst>
              <a:ext uri="{FF2B5EF4-FFF2-40B4-BE49-F238E27FC236}">
                <a16:creationId xmlns:a16="http://schemas.microsoft.com/office/drawing/2014/main" id="{00000000-0008-0000-0F00-000004000000}"/>
              </a:ext>
            </a:extLst>
          </xdr:cNvPr>
          <xdr:cNvSpPr/>
        </xdr:nvSpPr>
        <xdr:spPr bwMode="auto">
          <a:xfrm>
            <a:off x="6473933" y="752128"/>
            <a:ext cx="84665" cy="92637"/>
          </a:xfrm>
          <a:prstGeom prst="flowChartConnector">
            <a:avLst/>
          </a:prstGeom>
          <a:solidFill>
            <a:srgbClr val="FF0000"/>
          </a:solidFill>
          <a:ln w="12700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wrap="square" lIns="18288" tIns="0" rIns="0" bIns="0" rtlCol="0" anchor="ctr" upright="1"/>
          <a:lstStyle/>
          <a:p>
            <a:pPr algn="ctr"/>
            <a:endParaRPr lang="ko-KR" altLang="en-US" sz="1200" b="1">
              <a:latin typeface="맑은 고딕" pitchFamily="50" charset="-127"/>
              <a:ea typeface="맑은 고딕" pitchFamily="50" charset="-127"/>
            </a:endParaRPr>
          </a:p>
        </xdr:txBody>
      </xdr:sp>
    </xdr:grpSp>
    <xdr:clientData/>
  </xdr:twoCellAnchor>
  <xdr:oneCellAnchor>
    <xdr:from>
      <xdr:col>4</xdr:col>
      <xdr:colOff>15787</xdr:colOff>
      <xdr:row>27</xdr:row>
      <xdr:rowOff>152843</xdr:rowOff>
    </xdr:from>
    <xdr:ext cx="1154610" cy="411331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TextBox 4">
              <a:extLst>
                <a:ext uri="{FF2B5EF4-FFF2-40B4-BE49-F238E27FC236}">
                  <a16:creationId xmlns:a16="http://schemas.microsoft.com/office/drawing/2014/main" id="{00000000-0008-0000-0F00-000005000000}"/>
                </a:ext>
              </a:extLst>
            </xdr:cNvPr>
            <xdr:cNvSpPr txBox="1"/>
          </xdr:nvSpPr>
          <xdr:spPr bwMode="auto">
            <a:xfrm>
              <a:off x="1749337" y="5753543"/>
              <a:ext cx="1154610" cy="411331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vertOverflow="overflow" horzOverflow="overflow" vert="horz" wrap="none" lIns="0" tIns="0" rIns="0" bIns="0" rtlCol="0" anchor="b" upright="1">
              <a:spAutoFit/>
            </a:bodyPr>
            <a:lstStyle/>
            <a:p>
              <a:pPr algn="l" rtl="0"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en-US" altLang="ko-KR" sz="1000" b="0" i="1" strike="noStrike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  <a:ea typeface="바탕체"/>
                          </a:rPr>
                        </m:ctrlPr>
                      </m:fPr>
                      <m:num>
                        <m:r>
                          <a:rPr lang="en-US" altLang="ko-KR" sz="1000" b="0" i="1" strike="noStrike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  <a:ea typeface="바탕체"/>
                          </a:rPr>
                          <m:t>0.4 ×</m:t>
                        </m:r>
                        <m:r>
                          <a:rPr lang="en-US" altLang="ko-KR" sz="1000" b="0" i="1" strike="noStrike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  <a:ea typeface="바탕체"/>
                          </a:rPr>
                          <m:t>𝑎𝑃</m:t>
                        </m:r>
                        <m:r>
                          <a:rPr lang="en-US" altLang="ko-KR" sz="1000" b="0" i="1"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×</m:t>
                        </m:r>
                        <m:r>
                          <a:rPr lang="en-US" altLang="ko-KR" sz="1000" b="0" i="1"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𝑆𝐷𝑆</m:t>
                        </m:r>
                        <m:r>
                          <a:rPr lang="en-US" altLang="ko-KR" sz="1000" b="0" i="1"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×</m:t>
                        </m:r>
                        <m:r>
                          <a:rPr lang="en-US" altLang="ko-KR" sz="1000" b="0" i="1"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𝑊𝑃</m:t>
                        </m:r>
                      </m:num>
                      <m:den>
                        <m:r>
                          <a:rPr lang="en-US" altLang="ko-KR" sz="1000" b="0" i="1" strike="noStrike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  <a:ea typeface="바탕체"/>
                          </a:rPr>
                          <m:t>( </m:t>
                        </m:r>
                        <m:f>
                          <m:fPr>
                            <m:ctrlPr>
                              <a:rPr lang="en-US" altLang="ko-KR" sz="1000" b="0" i="1" strike="noStrike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  <a:ea typeface="바탕체"/>
                              </a:rPr>
                            </m:ctrlPr>
                          </m:fPr>
                          <m:num>
                            <m:r>
                              <a:rPr lang="en-US" altLang="ko-KR" sz="1000" b="0" i="1" strike="noStrike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  <a:ea typeface="바탕체"/>
                              </a:rPr>
                              <m:t>𝑅</m:t>
                            </m:r>
                            <m:r>
                              <a:rPr lang="en-US" altLang="ko-KR" sz="1000" b="0" i="1" strike="noStrike" baseline="-25000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  <a:ea typeface="바탕체"/>
                              </a:rPr>
                              <m:t>𝑃</m:t>
                            </m:r>
                          </m:num>
                          <m:den>
                            <m:r>
                              <a:rPr lang="en-US" altLang="ko-KR" sz="1000" b="0" i="1" strike="noStrike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  <a:ea typeface="바탕체"/>
                              </a:rPr>
                              <m:t>𝐼</m:t>
                            </m:r>
                            <m:r>
                              <a:rPr lang="en-US" altLang="ko-KR" sz="1000" b="0" i="1" strike="noStrike" baseline="-25000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  <a:ea typeface="바탕체"/>
                              </a:rPr>
                              <m:t>𝑃</m:t>
                            </m:r>
                          </m:den>
                        </m:f>
                        <m:r>
                          <a:rPr lang="en-US" altLang="ko-KR" sz="1000" b="0" i="1" strike="noStrike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  <a:ea typeface="바탕체"/>
                          </a:rPr>
                          <m:t> )</m:t>
                        </m:r>
                      </m:den>
                    </m:f>
                  </m:oMath>
                </m:oMathPara>
              </a14:m>
              <a:endParaRPr lang="en-US" altLang="ko-KR" sz="1000" b="0" i="1" strike="noStrike">
                <a:solidFill>
                  <a:sysClr val="windowText" lastClr="000000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endParaRPr>
            </a:p>
          </xdr:txBody>
        </xdr:sp>
      </mc:Choice>
      <mc:Fallback xmlns="">
        <xdr:sp macro="" textlink="">
          <xdr:nvSpPr>
            <xdr:cNvPr id="5" name="TextBox 4">
              <a:extLst>
                <a:ext uri="{FF2B5EF4-FFF2-40B4-BE49-F238E27FC236}">
                  <a16:creationId xmlns:a16="http://schemas.microsoft.com/office/drawing/2014/main" id="{A6FC8FC2-A007-42F5-9517-F90D14E8E3D9}"/>
                </a:ext>
              </a:extLst>
            </xdr:cNvPr>
            <xdr:cNvSpPr txBox="1"/>
          </xdr:nvSpPr>
          <xdr:spPr bwMode="auto">
            <a:xfrm>
              <a:off x="1749337" y="5753543"/>
              <a:ext cx="1154610" cy="411331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vertOverflow="overflow" horzOverflow="overflow" vert="horz" wrap="none" lIns="0" tIns="0" rIns="0" bIns="0" rtlCol="0" anchor="b" upright="1">
              <a:spAutoFit/>
            </a:bodyPr>
            <a:lstStyle/>
            <a:p>
              <a:pPr algn="l" rtl="0"/>
              <a:r>
                <a:rPr lang="en-US" altLang="ko-KR" sz="1000" b="0" i="0" strike="noStrike">
                  <a:solidFill>
                    <a:srgbClr val="000000"/>
                  </a:solidFill>
                  <a:latin typeface="Cambria Math" panose="02040503050406030204" pitchFamily="18" charset="0"/>
                  <a:ea typeface="바탕체"/>
                </a:rPr>
                <a:t>(0.4 ×𝑎𝑃</a:t>
              </a:r>
              <a:r>
                <a:rPr lang="en-US" altLang="ko-KR" sz="1000" b="0" i="0"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×𝑆𝐷𝑆×𝑊𝑃</a:t>
              </a:r>
              <a:r>
                <a:rPr lang="en-US" altLang="ko-KR" sz="1000" b="0" i="0" strike="noStrike">
                  <a:solidFill>
                    <a:srgbClr val="000000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)/(</a:t>
              </a:r>
              <a:r>
                <a:rPr lang="en-US" altLang="ko-KR" sz="1000" b="0" i="0" strike="noStrike">
                  <a:solidFill>
                    <a:srgbClr val="000000"/>
                  </a:solidFill>
                  <a:latin typeface="Cambria Math" panose="02040503050406030204" pitchFamily="18" charset="0"/>
                  <a:ea typeface="바탕체"/>
                </a:rPr>
                <a:t>( 𝑅</a:t>
              </a:r>
              <a:r>
                <a:rPr lang="en-US" altLang="ko-KR" sz="1000" b="0" i="0" strike="noStrike" baseline="-25000">
                  <a:solidFill>
                    <a:srgbClr val="000000"/>
                  </a:solidFill>
                  <a:latin typeface="Cambria Math" panose="02040503050406030204" pitchFamily="18" charset="0"/>
                  <a:ea typeface="바탕체"/>
                </a:rPr>
                <a:t>𝑃/</a:t>
              </a:r>
              <a:r>
                <a:rPr lang="en-US" altLang="ko-KR" sz="1000" b="0" i="0" strike="noStrike">
                  <a:solidFill>
                    <a:srgbClr val="000000"/>
                  </a:solidFill>
                  <a:latin typeface="Cambria Math" panose="02040503050406030204" pitchFamily="18" charset="0"/>
                  <a:ea typeface="바탕체"/>
                </a:rPr>
                <a:t>𝐼</a:t>
              </a:r>
              <a:r>
                <a:rPr lang="en-US" altLang="ko-KR" sz="1000" b="0" i="0" strike="noStrike" baseline="-25000">
                  <a:solidFill>
                    <a:srgbClr val="000000"/>
                  </a:solidFill>
                  <a:latin typeface="Cambria Math" panose="02040503050406030204" pitchFamily="18" charset="0"/>
                  <a:ea typeface="바탕체"/>
                </a:rPr>
                <a:t>𝑃 </a:t>
              </a:r>
              <a:r>
                <a:rPr lang="en-US" altLang="ko-KR" sz="1000" b="0" i="0" strike="noStrike">
                  <a:solidFill>
                    <a:srgbClr val="000000"/>
                  </a:solidFill>
                  <a:latin typeface="Cambria Math" panose="02040503050406030204" pitchFamily="18" charset="0"/>
                  <a:ea typeface="바탕체"/>
                </a:rPr>
                <a:t> ))</a:t>
              </a:r>
              <a:endParaRPr lang="en-US" altLang="ko-KR" sz="1000" b="0" i="1" strike="noStrike">
                <a:solidFill>
                  <a:sysClr val="windowText" lastClr="000000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endParaRPr>
            </a:p>
          </xdr:txBody>
        </xdr:sp>
      </mc:Fallback>
    </mc:AlternateContent>
    <xdr:clientData/>
  </xdr:oneCellAnchor>
  <xdr:oneCellAnchor>
    <xdr:from>
      <xdr:col>5</xdr:col>
      <xdr:colOff>607803</xdr:colOff>
      <xdr:row>27</xdr:row>
      <xdr:rowOff>195340</xdr:rowOff>
    </xdr:from>
    <xdr:ext cx="603499" cy="22083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TextBox 5">
              <a:extLst>
                <a:ext uri="{FF2B5EF4-FFF2-40B4-BE49-F238E27FC236}">
                  <a16:creationId xmlns:a16="http://schemas.microsoft.com/office/drawing/2014/main" id="{00000000-0008-0000-0F00-000006000000}"/>
                </a:ext>
              </a:extLst>
            </xdr:cNvPr>
            <xdr:cNvSpPr txBox="1"/>
          </xdr:nvSpPr>
          <xdr:spPr bwMode="auto">
            <a:xfrm>
              <a:off x="2970003" y="5796040"/>
              <a:ext cx="603499" cy="220830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vertOverflow="overflow" horzOverflow="overflow" vert="horz" wrap="none" lIns="0" tIns="0" rIns="0" bIns="0" rtlCol="0" anchor="b" upright="1">
              <a:spAutoFit/>
            </a:bodyPr>
            <a:lstStyle/>
            <a:p>
              <a:pPr algn="l" rtl="0"/>
              <a:r>
                <a:rPr lang="en-US" altLang="ko-KR" sz="1000" b="0" i="0" strike="noStrike">
                  <a:solidFill>
                    <a:srgbClr val="000000"/>
                  </a:solidFill>
                  <a:latin typeface="Times New Roman" panose="02020603050405020304" pitchFamily="18" charset="0"/>
                  <a:ea typeface="바탕체"/>
                  <a:cs typeface="Times New Roman" panose="02020603050405020304" pitchFamily="18" charset="0"/>
                </a:rPr>
                <a:t>( 1+2 ×</a:t>
              </a:r>
              <a14:m>
                <m:oMath xmlns:m="http://schemas.openxmlformats.org/officeDocument/2006/math">
                  <m:r>
                    <a:rPr lang="en-US" altLang="ko-KR" sz="1000" b="0" i="0" strike="noStrike">
                      <a:solidFill>
                        <a:srgbClr val="000000"/>
                      </a:solidFill>
                      <a:latin typeface="Cambria Math" panose="02040503050406030204" pitchFamily="18" charset="0"/>
                      <a:ea typeface="바탕체"/>
                    </a:rPr>
                    <m:t> </m:t>
                  </m:r>
                  <m:f>
                    <m:fPr>
                      <m:ctrlPr>
                        <a:rPr lang="en-US" altLang="ko-KR" sz="1000" b="0" i="1" strike="noStrike">
                          <a:solidFill>
                            <a:srgbClr val="000000"/>
                          </a:solidFill>
                          <a:latin typeface="Cambria Math" panose="02040503050406030204" pitchFamily="18" charset="0"/>
                          <a:ea typeface="바탕체"/>
                        </a:rPr>
                      </m:ctrlPr>
                    </m:fPr>
                    <m:num>
                      <m:r>
                        <m:rPr>
                          <m:sty m:val="p"/>
                        </m:rPr>
                        <a:rPr lang="en-US" altLang="ko-KR" sz="1000" b="0" i="0" strike="noStrike">
                          <a:solidFill>
                            <a:srgbClr val="000000"/>
                          </a:solidFill>
                          <a:latin typeface="Cambria Math" panose="02040503050406030204" pitchFamily="18" charset="0"/>
                          <a:ea typeface="바탕체"/>
                        </a:rPr>
                        <m:t>Z</m:t>
                      </m:r>
                    </m:num>
                    <m:den>
                      <m:r>
                        <m:rPr>
                          <m:sty m:val="p"/>
                        </m:rPr>
                        <a:rPr lang="en-US" altLang="ko-KR" sz="1000" b="0" i="0" strike="noStrike">
                          <a:solidFill>
                            <a:srgbClr val="000000"/>
                          </a:solidFill>
                          <a:latin typeface="Cambria Math" panose="02040503050406030204" pitchFamily="18" charset="0"/>
                          <a:ea typeface="바탕체"/>
                        </a:rPr>
                        <m:t>h</m:t>
                      </m:r>
                    </m:den>
                  </m:f>
                  <m:r>
                    <a:rPr lang="en-US" altLang="ko-KR" sz="1000" b="0" i="0" strike="noStrike">
                      <a:solidFill>
                        <a:srgbClr val="000000"/>
                      </a:solidFill>
                      <a:latin typeface="Cambria Math" panose="02040503050406030204" pitchFamily="18" charset="0"/>
                      <a:ea typeface="바탕체"/>
                    </a:rPr>
                    <m:t> )</m:t>
                  </m:r>
                </m:oMath>
              </a14:m>
              <a:endParaRPr lang="en-US" altLang="ko-KR" sz="1000" b="0" i="0" strike="noStrike">
                <a:solidFill>
                  <a:sysClr val="windowText" lastClr="000000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endParaRPr>
            </a:p>
          </xdr:txBody>
        </xdr:sp>
      </mc:Choice>
      <mc:Fallback xmlns="">
        <xdr:sp macro="" textlink="">
          <xdr:nvSpPr>
            <xdr:cNvPr id="6" name="TextBox 5">
              <a:extLst>
                <a:ext uri="{FF2B5EF4-FFF2-40B4-BE49-F238E27FC236}">
                  <a16:creationId xmlns:a16="http://schemas.microsoft.com/office/drawing/2014/main" id="{B0A90261-FC3C-489D-B919-84D5FCDDD7CD}"/>
                </a:ext>
              </a:extLst>
            </xdr:cNvPr>
            <xdr:cNvSpPr txBox="1"/>
          </xdr:nvSpPr>
          <xdr:spPr bwMode="auto">
            <a:xfrm>
              <a:off x="2970003" y="5796040"/>
              <a:ext cx="603499" cy="220830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vertOverflow="overflow" horzOverflow="overflow" vert="horz" wrap="none" lIns="0" tIns="0" rIns="0" bIns="0" rtlCol="0" anchor="b" upright="1">
              <a:spAutoFit/>
            </a:bodyPr>
            <a:lstStyle/>
            <a:p>
              <a:pPr algn="l" rtl="0"/>
              <a:r>
                <a:rPr lang="en-US" altLang="ko-KR" sz="1000" b="0" i="0" strike="noStrike">
                  <a:solidFill>
                    <a:srgbClr val="000000"/>
                  </a:solidFill>
                  <a:latin typeface="Times New Roman" panose="02020603050405020304" pitchFamily="18" charset="0"/>
                  <a:ea typeface="바탕체"/>
                  <a:cs typeface="Times New Roman" panose="02020603050405020304" pitchFamily="18" charset="0"/>
                </a:rPr>
                <a:t>( 1+2 ×</a:t>
              </a:r>
              <a:r>
                <a:rPr lang="en-US" altLang="ko-KR" sz="1000" b="0" i="0" strike="noStrike">
                  <a:solidFill>
                    <a:srgbClr val="000000"/>
                  </a:solidFill>
                  <a:latin typeface="Cambria Math" panose="02040503050406030204" pitchFamily="18" charset="0"/>
                  <a:ea typeface="바탕체"/>
                </a:rPr>
                <a:t>  Z/h  )</a:t>
              </a:r>
              <a:endParaRPr lang="en-US" altLang="ko-KR" sz="1000" b="0" i="0" strike="noStrike">
                <a:solidFill>
                  <a:sysClr val="windowText" lastClr="000000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endParaRPr>
            </a:p>
          </xdr:txBody>
        </xdr:sp>
      </mc:Fallback>
    </mc:AlternateContent>
    <xdr:clientData/>
  </xdr:oneCellAnchor>
  <xdr:oneCellAnchor>
    <xdr:from>
      <xdr:col>4</xdr:col>
      <xdr:colOff>15787</xdr:colOff>
      <xdr:row>150</xdr:row>
      <xdr:rowOff>0</xdr:rowOff>
    </xdr:from>
    <xdr:ext cx="1181093" cy="411331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9" name="TextBox 8">
              <a:extLst>
                <a:ext uri="{FF2B5EF4-FFF2-40B4-BE49-F238E27FC236}">
                  <a16:creationId xmlns:a16="http://schemas.microsoft.com/office/drawing/2014/main" id="{00000000-0008-0000-0F00-000009000000}"/>
                </a:ext>
              </a:extLst>
            </xdr:cNvPr>
            <xdr:cNvSpPr txBox="1"/>
          </xdr:nvSpPr>
          <xdr:spPr bwMode="auto">
            <a:xfrm>
              <a:off x="1749337" y="33804225"/>
              <a:ext cx="1181093" cy="411331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vertOverflow="overflow" horzOverflow="overflow" vert="horz" wrap="none" lIns="0" tIns="0" rIns="0" bIns="0" rtlCol="0" anchor="b" upright="1">
              <a:spAutoFit/>
            </a:bodyPr>
            <a:lstStyle/>
            <a:p>
              <a:pPr algn="l" rtl="0"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en-US" altLang="ko-KR" sz="1000" b="0" i="1" strike="noStrike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  <a:ea typeface="바탕체"/>
                          </a:rPr>
                        </m:ctrlPr>
                      </m:fPr>
                      <m:num>
                        <m:r>
                          <a:rPr lang="en-US" altLang="ko-KR" sz="1000" b="0" i="1" strike="noStrike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  <a:ea typeface="바탕체"/>
                          </a:rPr>
                          <m:t>0.4 ×</m:t>
                        </m:r>
                        <m:r>
                          <a:rPr lang="en-US" altLang="ko-KR" sz="1000" b="0" i="1" strike="noStrike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  <a:ea typeface="바탕체"/>
                          </a:rPr>
                          <m:t>𝑎𝑃</m:t>
                        </m:r>
                        <m:r>
                          <a:rPr lang="en-US" altLang="ko-KR" sz="1000" b="0" i="1"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×</m:t>
                        </m:r>
                        <m:r>
                          <a:rPr lang="en-US" altLang="ko-KR" sz="1000" b="0" i="1"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𝑆𝐷𝑆</m:t>
                        </m:r>
                        <m:r>
                          <a:rPr lang="en-US" altLang="ko-KR" sz="1000" b="0" i="1"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×</m:t>
                        </m:r>
                        <m:r>
                          <a:rPr lang="en-US" altLang="ko-KR" sz="1000" b="0" i="1"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𝑊𝑃</m:t>
                        </m:r>
                      </m:num>
                      <m:den>
                        <m:r>
                          <a:rPr lang="en-US" altLang="ko-KR" sz="1000" b="0" i="1" strike="noStrike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  <a:ea typeface="바탕체"/>
                          </a:rPr>
                          <m:t>( </m:t>
                        </m:r>
                        <m:f>
                          <m:fPr>
                            <m:ctrlPr>
                              <a:rPr lang="en-US" altLang="ko-KR" sz="1000" b="0" i="1" strike="noStrike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  <a:ea typeface="바탕체"/>
                              </a:rPr>
                            </m:ctrlPr>
                          </m:fPr>
                          <m:num>
                            <m:r>
                              <a:rPr lang="en-US" altLang="ko-KR" sz="1000" b="0" i="1" strike="noStrike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  <a:ea typeface="바탕체"/>
                              </a:rPr>
                              <m:t>𝑅</m:t>
                            </m:r>
                            <m:r>
                              <a:rPr lang="en-US" altLang="ko-KR" sz="1000" b="0" i="1" strike="noStrike" baseline="-25000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  <a:ea typeface="바탕체"/>
                              </a:rPr>
                              <m:t>𝑃</m:t>
                            </m:r>
                          </m:num>
                          <m:den>
                            <m:r>
                              <a:rPr lang="en-US" altLang="ko-KR" sz="1000" b="0" i="1" strike="noStrike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  <a:ea typeface="바탕체"/>
                              </a:rPr>
                              <m:t>𝐼</m:t>
                            </m:r>
                            <m:r>
                              <a:rPr lang="en-US" altLang="ko-KR" sz="1000" b="0" i="1" strike="noStrike" baseline="-25000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  <a:ea typeface="바탕체"/>
                              </a:rPr>
                              <m:t>𝑃</m:t>
                            </m:r>
                          </m:den>
                        </m:f>
                        <m:r>
                          <a:rPr lang="en-US" altLang="ko-KR" sz="1000" b="0" i="1" strike="noStrike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  <a:ea typeface="바탕체"/>
                          </a:rPr>
                          <m:t> )</m:t>
                        </m:r>
                      </m:den>
                    </m:f>
                  </m:oMath>
                </m:oMathPara>
              </a14:m>
              <a:endParaRPr lang="en-US" altLang="ko-KR" sz="1000" b="0" i="1" strike="noStrike">
                <a:solidFill>
                  <a:sysClr val="windowText" lastClr="000000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endParaRPr>
            </a:p>
          </xdr:txBody>
        </xdr:sp>
      </mc:Choice>
      <mc:Fallback xmlns="">
        <xdr:sp macro="" textlink="">
          <xdr:nvSpPr>
            <xdr:cNvPr id="9" name="TextBox 8">
              <a:extLst>
                <a:ext uri="{FF2B5EF4-FFF2-40B4-BE49-F238E27FC236}">
                  <a16:creationId xmlns:a16="http://schemas.microsoft.com/office/drawing/2014/main" id="{50CC1421-5247-4B3B-991E-A0DC9C89F2FE}"/>
                </a:ext>
              </a:extLst>
            </xdr:cNvPr>
            <xdr:cNvSpPr txBox="1"/>
          </xdr:nvSpPr>
          <xdr:spPr bwMode="auto">
            <a:xfrm>
              <a:off x="1749337" y="33804225"/>
              <a:ext cx="1181093" cy="411331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vertOverflow="overflow" horzOverflow="overflow" vert="horz" wrap="none" lIns="0" tIns="0" rIns="0" bIns="0" rtlCol="0" anchor="b" upright="1">
              <a:spAutoFit/>
            </a:bodyPr>
            <a:lstStyle/>
            <a:p>
              <a:pPr algn="l" rtl="0"/>
              <a:r>
                <a:rPr lang="en-US" altLang="ko-KR" sz="1000" b="0" i="0" strike="noStrike">
                  <a:solidFill>
                    <a:srgbClr val="000000"/>
                  </a:solidFill>
                  <a:latin typeface="Cambria Math" panose="02040503050406030204" pitchFamily="18" charset="0"/>
                  <a:ea typeface="바탕체"/>
                </a:rPr>
                <a:t>(0.4 ×𝑎𝑃</a:t>
              </a:r>
              <a:r>
                <a:rPr lang="en-US" altLang="ko-KR" sz="1000" b="0" i="0"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×𝑆𝐷𝑆×𝑊𝑃</a:t>
              </a:r>
              <a:r>
                <a:rPr lang="en-US" altLang="ko-KR" sz="1000" b="0" i="0" strike="noStrike">
                  <a:solidFill>
                    <a:srgbClr val="000000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)/(</a:t>
              </a:r>
              <a:r>
                <a:rPr lang="en-US" altLang="ko-KR" sz="1000" b="0" i="0" strike="noStrike">
                  <a:solidFill>
                    <a:srgbClr val="000000"/>
                  </a:solidFill>
                  <a:latin typeface="Cambria Math" panose="02040503050406030204" pitchFamily="18" charset="0"/>
                  <a:ea typeface="바탕체"/>
                </a:rPr>
                <a:t>( 𝑅</a:t>
              </a:r>
              <a:r>
                <a:rPr lang="en-US" altLang="ko-KR" sz="1000" b="0" i="0" strike="noStrike" baseline="-25000">
                  <a:solidFill>
                    <a:srgbClr val="000000"/>
                  </a:solidFill>
                  <a:latin typeface="Cambria Math" panose="02040503050406030204" pitchFamily="18" charset="0"/>
                  <a:ea typeface="바탕체"/>
                </a:rPr>
                <a:t>𝑃/</a:t>
              </a:r>
              <a:r>
                <a:rPr lang="en-US" altLang="ko-KR" sz="1000" b="0" i="0" strike="noStrike">
                  <a:solidFill>
                    <a:srgbClr val="000000"/>
                  </a:solidFill>
                  <a:latin typeface="Cambria Math" panose="02040503050406030204" pitchFamily="18" charset="0"/>
                  <a:ea typeface="바탕체"/>
                </a:rPr>
                <a:t>𝐼</a:t>
              </a:r>
              <a:r>
                <a:rPr lang="en-US" altLang="ko-KR" sz="1000" b="0" i="0" strike="noStrike" baseline="-25000">
                  <a:solidFill>
                    <a:srgbClr val="000000"/>
                  </a:solidFill>
                  <a:latin typeface="Cambria Math" panose="02040503050406030204" pitchFamily="18" charset="0"/>
                  <a:ea typeface="바탕체"/>
                </a:rPr>
                <a:t>𝑃 </a:t>
              </a:r>
              <a:r>
                <a:rPr lang="en-US" altLang="ko-KR" sz="1000" b="0" i="0" strike="noStrike">
                  <a:solidFill>
                    <a:srgbClr val="000000"/>
                  </a:solidFill>
                  <a:latin typeface="Cambria Math" panose="02040503050406030204" pitchFamily="18" charset="0"/>
                  <a:ea typeface="바탕체"/>
                </a:rPr>
                <a:t> ))</a:t>
              </a:r>
              <a:endParaRPr lang="en-US" altLang="ko-KR" sz="1000" b="0" i="1" strike="noStrike">
                <a:solidFill>
                  <a:sysClr val="windowText" lastClr="000000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endParaRPr>
            </a:p>
          </xdr:txBody>
        </xdr:sp>
      </mc:Fallback>
    </mc:AlternateContent>
    <xdr:clientData/>
  </xdr:oneCellAnchor>
  <xdr:oneCellAnchor>
    <xdr:from>
      <xdr:col>5</xdr:col>
      <xdr:colOff>607803</xdr:colOff>
      <xdr:row>150</xdr:row>
      <xdr:rowOff>0</xdr:rowOff>
    </xdr:from>
    <xdr:ext cx="603499" cy="22083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0" name="TextBox 9">
              <a:extLst>
                <a:ext uri="{FF2B5EF4-FFF2-40B4-BE49-F238E27FC236}">
                  <a16:creationId xmlns:a16="http://schemas.microsoft.com/office/drawing/2014/main" id="{00000000-0008-0000-0F00-00000A000000}"/>
                </a:ext>
              </a:extLst>
            </xdr:cNvPr>
            <xdr:cNvSpPr txBox="1"/>
          </xdr:nvSpPr>
          <xdr:spPr bwMode="auto">
            <a:xfrm>
              <a:off x="2970003" y="33804225"/>
              <a:ext cx="603499" cy="220830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vertOverflow="overflow" horzOverflow="overflow" vert="horz" wrap="none" lIns="0" tIns="0" rIns="0" bIns="0" rtlCol="0" anchor="b" upright="1">
              <a:spAutoFit/>
            </a:bodyPr>
            <a:lstStyle/>
            <a:p>
              <a:pPr algn="l" rtl="0"/>
              <a:r>
                <a:rPr lang="en-US" altLang="ko-KR" sz="1000" b="0" i="0" strike="noStrike">
                  <a:solidFill>
                    <a:srgbClr val="000000"/>
                  </a:solidFill>
                  <a:latin typeface="Times New Roman" panose="02020603050405020304" pitchFamily="18" charset="0"/>
                  <a:ea typeface="바탕체"/>
                  <a:cs typeface="Times New Roman" panose="02020603050405020304" pitchFamily="18" charset="0"/>
                </a:rPr>
                <a:t>( 1+2 ×</a:t>
              </a:r>
              <a14:m>
                <m:oMath xmlns:m="http://schemas.openxmlformats.org/officeDocument/2006/math">
                  <m:r>
                    <a:rPr lang="en-US" altLang="ko-KR" sz="1000" b="0" i="0" strike="noStrike">
                      <a:solidFill>
                        <a:srgbClr val="000000"/>
                      </a:solidFill>
                      <a:latin typeface="Cambria Math" panose="02040503050406030204" pitchFamily="18" charset="0"/>
                      <a:ea typeface="바탕체"/>
                    </a:rPr>
                    <m:t> </m:t>
                  </m:r>
                  <m:f>
                    <m:fPr>
                      <m:ctrlPr>
                        <a:rPr lang="en-US" altLang="ko-KR" sz="1000" b="0" i="1" strike="noStrike">
                          <a:solidFill>
                            <a:srgbClr val="000000"/>
                          </a:solidFill>
                          <a:latin typeface="Cambria Math" panose="02040503050406030204" pitchFamily="18" charset="0"/>
                          <a:ea typeface="바탕체"/>
                        </a:rPr>
                      </m:ctrlPr>
                    </m:fPr>
                    <m:num>
                      <m:r>
                        <m:rPr>
                          <m:sty m:val="p"/>
                        </m:rPr>
                        <a:rPr lang="en-US" altLang="ko-KR" sz="1000" b="0" i="0" strike="noStrike">
                          <a:solidFill>
                            <a:srgbClr val="000000"/>
                          </a:solidFill>
                          <a:latin typeface="Cambria Math" panose="02040503050406030204" pitchFamily="18" charset="0"/>
                          <a:ea typeface="바탕체"/>
                        </a:rPr>
                        <m:t>Z</m:t>
                      </m:r>
                    </m:num>
                    <m:den>
                      <m:r>
                        <m:rPr>
                          <m:sty m:val="p"/>
                        </m:rPr>
                        <a:rPr lang="en-US" altLang="ko-KR" sz="1000" b="0" i="0" strike="noStrike">
                          <a:solidFill>
                            <a:srgbClr val="000000"/>
                          </a:solidFill>
                          <a:latin typeface="Cambria Math" panose="02040503050406030204" pitchFamily="18" charset="0"/>
                          <a:ea typeface="바탕체"/>
                        </a:rPr>
                        <m:t>h</m:t>
                      </m:r>
                    </m:den>
                  </m:f>
                  <m:r>
                    <a:rPr lang="en-US" altLang="ko-KR" sz="1000" b="0" i="0" strike="noStrike">
                      <a:solidFill>
                        <a:srgbClr val="000000"/>
                      </a:solidFill>
                      <a:latin typeface="Cambria Math" panose="02040503050406030204" pitchFamily="18" charset="0"/>
                      <a:ea typeface="바탕체"/>
                    </a:rPr>
                    <m:t> )</m:t>
                  </m:r>
                </m:oMath>
              </a14:m>
              <a:endParaRPr lang="en-US" altLang="ko-KR" sz="1000" b="0" i="0" strike="noStrike">
                <a:solidFill>
                  <a:sysClr val="windowText" lastClr="000000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endParaRPr>
            </a:p>
          </xdr:txBody>
        </xdr:sp>
      </mc:Choice>
      <mc:Fallback xmlns="">
        <xdr:sp macro="" textlink="">
          <xdr:nvSpPr>
            <xdr:cNvPr id="10" name="TextBox 9">
              <a:extLst>
                <a:ext uri="{FF2B5EF4-FFF2-40B4-BE49-F238E27FC236}">
                  <a16:creationId xmlns:a16="http://schemas.microsoft.com/office/drawing/2014/main" id="{B6130266-007E-4974-A6E8-87565B510184}"/>
                </a:ext>
              </a:extLst>
            </xdr:cNvPr>
            <xdr:cNvSpPr txBox="1"/>
          </xdr:nvSpPr>
          <xdr:spPr bwMode="auto">
            <a:xfrm>
              <a:off x="2970003" y="33804225"/>
              <a:ext cx="603499" cy="220830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vertOverflow="overflow" horzOverflow="overflow" vert="horz" wrap="none" lIns="0" tIns="0" rIns="0" bIns="0" rtlCol="0" anchor="b" upright="1">
              <a:spAutoFit/>
            </a:bodyPr>
            <a:lstStyle/>
            <a:p>
              <a:pPr algn="l" rtl="0"/>
              <a:r>
                <a:rPr lang="en-US" altLang="ko-KR" sz="1000" b="0" i="0" strike="noStrike">
                  <a:solidFill>
                    <a:srgbClr val="000000"/>
                  </a:solidFill>
                  <a:latin typeface="Times New Roman" panose="02020603050405020304" pitchFamily="18" charset="0"/>
                  <a:ea typeface="바탕체"/>
                  <a:cs typeface="Times New Roman" panose="02020603050405020304" pitchFamily="18" charset="0"/>
                </a:rPr>
                <a:t>( 1+2 ×</a:t>
              </a:r>
              <a:r>
                <a:rPr lang="en-US" altLang="ko-KR" sz="1000" b="0" i="0" strike="noStrike">
                  <a:solidFill>
                    <a:srgbClr val="000000"/>
                  </a:solidFill>
                  <a:latin typeface="Cambria Math" panose="02040503050406030204" pitchFamily="18" charset="0"/>
                  <a:ea typeface="바탕체"/>
                </a:rPr>
                <a:t>  Z/h  )</a:t>
              </a:r>
              <a:endParaRPr lang="en-US" altLang="ko-KR" sz="1000" b="0" i="0" strike="noStrike">
                <a:solidFill>
                  <a:sysClr val="windowText" lastClr="000000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endParaRPr>
            </a:p>
          </xdr:txBody>
        </xdr:sp>
      </mc:Fallback>
    </mc:AlternateContent>
    <xdr:clientData/>
  </xdr:oneCellAnchor>
  <xdr:twoCellAnchor editAs="oneCell">
    <xdr:from>
      <xdr:col>4</xdr:col>
      <xdr:colOff>7326</xdr:colOff>
      <xdr:row>27</xdr:row>
      <xdr:rowOff>146538</xdr:rowOff>
    </xdr:from>
    <xdr:to>
      <xdr:col>7</xdr:col>
      <xdr:colOff>14654</xdr:colOff>
      <xdr:row>29</xdr:row>
      <xdr:rowOff>193556</xdr:rowOff>
    </xdr:to>
    <xdr:pic>
      <xdr:nvPicPr>
        <xdr:cNvPr id="11" name="그림 10">
          <a:extLst>
            <a:ext uri="{FF2B5EF4-FFF2-40B4-BE49-F238E27FC236}">
              <a16:creationId xmlns:a16="http://schemas.microsoft.com/office/drawing/2014/main" id="{00000000-0008-0000-0F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44504" t="49603" r="35391" b="41384"/>
        <a:stretch/>
      </xdr:blipFill>
      <xdr:spPr>
        <a:xfrm>
          <a:off x="1740876" y="5747238"/>
          <a:ext cx="1893278" cy="447068"/>
        </a:xfrm>
        <a:prstGeom prst="rect">
          <a:avLst/>
        </a:prstGeom>
      </xdr:spPr>
    </xdr:pic>
    <xdr:clientData/>
  </xdr:twoCellAnchor>
  <xdr:twoCellAnchor editAs="oneCell">
    <xdr:from>
      <xdr:col>4</xdr:col>
      <xdr:colOff>7327</xdr:colOff>
      <xdr:row>150</xdr:row>
      <xdr:rowOff>0</xdr:rowOff>
    </xdr:from>
    <xdr:to>
      <xdr:col>7</xdr:col>
      <xdr:colOff>14655</xdr:colOff>
      <xdr:row>152</xdr:row>
      <xdr:rowOff>47973</xdr:rowOff>
    </xdr:to>
    <xdr:pic>
      <xdr:nvPicPr>
        <xdr:cNvPr id="13" name="그림 12">
          <a:extLst>
            <a:ext uri="{FF2B5EF4-FFF2-40B4-BE49-F238E27FC236}">
              <a16:creationId xmlns:a16="http://schemas.microsoft.com/office/drawing/2014/main" id="{00000000-0008-0000-0F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44504" t="49603" r="35391" b="41384"/>
        <a:stretch/>
      </xdr:blipFill>
      <xdr:spPr>
        <a:xfrm>
          <a:off x="1740877" y="33804225"/>
          <a:ext cx="1893278" cy="448023"/>
        </a:xfrm>
        <a:prstGeom prst="rect">
          <a:avLst/>
        </a:prstGeom>
      </xdr:spPr>
    </xdr:pic>
    <xdr:clientData/>
  </xdr:twoCellAnchor>
  <xdr:twoCellAnchor editAs="oneCell">
    <xdr:from>
      <xdr:col>8</xdr:col>
      <xdr:colOff>546100</xdr:colOff>
      <xdr:row>3</xdr:row>
      <xdr:rowOff>0</xdr:rowOff>
    </xdr:from>
    <xdr:to>
      <xdr:col>12</xdr:col>
      <xdr:colOff>88900</xdr:colOff>
      <xdr:row>5</xdr:row>
      <xdr:rowOff>64270</xdr:rowOff>
    </xdr:to>
    <xdr:pic>
      <xdr:nvPicPr>
        <xdr:cNvPr id="7" name="그림 6">
          <a:extLst>
            <a:ext uri="{FF2B5EF4-FFF2-40B4-BE49-F238E27FC236}">
              <a16:creationId xmlns:a16="http://schemas.microsoft.com/office/drawing/2014/main" id="{00000000-0008-0000-0F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5635" t="-23286"/>
        <a:stretch/>
      </xdr:blipFill>
      <xdr:spPr>
        <a:xfrm>
          <a:off x="4838700" y="812800"/>
          <a:ext cx="1905000" cy="47067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404892</xdr:colOff>
      <xdr:row>21</xdr:row>
      <xdr:rowOff>49698</xdr:rowOff>
    </xdr:from>
    <xdr:to>
      <xdr:col>4</xdr:col>
      <xdr:colOff>355252</xdr:colOff>
      <xdr:row>32</xdr:row>
      <xdr:rowOff>152690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00000000-0008-0000-1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71667" y="4250223"/>
          <a:ext cx="1207660" cy="2303267"/>
        </a:xfrm>
        <a:prstGeom prst="rect">
          <a:avLst/>
        </a:prstGeom>
        <a:noFill/>
      </xdr:spPr>
    </xdr:pic>
    <xdr:clientData/>
  </xdr:twoCellAnchor>
  <xdr:twoCellAnchor>
    <xdr:from>
      <xdr:col>3</xdr:col>
      <xdr:colOff>0</xdr:colOff>
      <xdr:row>74</xdr:row>
      <xdr:rowOff>161925</xdr:rowOff>
    </xdr:from>
    <xdr:to>
      <xdr:col>3</xdr:col>
      <xdr:colOff>0</xdr:colOff>
      <xdr:row>74</xdr:row>
      <xdr:rowOff>161925</xdr:rowOff>
    </xdr:to>
    <xdr:sp macro="" textlink="">
      <xdr:nvSpPr>
        <xdr:cNvPr id="6" name="Line 210">
          <a:extLst>
            <a:ext uri="{FF2B5EF4-FFF2-40B4-BE49-F238E27FC236}">
              <a16:creationId xmlns:a16="http://schemas.microsoft.com/office/drawing/2014/main" id="{00000000-0008-0000-1000-000006000000}"/>
            </a:ext>
          </a:extLst>
        </xdr:cNvPr>
        <xdr:cNvSpPr>
          <a:spLocks noChangeShapeType="1"/>
        </xdr:cNvSpPr>
      </xdr:nvSpPr>
      <xdr:spPr bwMode="auto">
        <a:xfrm flipH="1">
          <a:off x="1323975" y="14963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6</xdr:col>
      <xdr:colOff>175845</xdr:colOff>
      <xdr:row>25</xdr:row>
      <xdr:rowOff>131884</xdr:rowOff>
    </xdr:from>
    <xdr:to>
      <xdr:col>10</xdr:col>
      <xdr:colOff>537318</xdr:colOff>
      <xdr:row>41</xdr:row>
      <xdr:rowOff>0</xdr:rowOff>
    </xdr:to>
    <xdr:pic>
      <xdr:nvPicPr>
        <xdr:cNvPr id="8" name="그림 7">
          <a:extLst>
            <a:ext uri="{FF2B5EF4-FFF2-40B4-BE49-F238E27FC236}">
              <a16:creationId xmlns:a16="http://schemas.microsoft.com/office/drawing/2014/main" id="{00000000-0008-0000-1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7220" y="5132509"/>
          <a:ext cx="2876073" cy="30685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11</xdr:col>
      <xdr:colOff>12700</xdr:colOff>
      <xdr:row>2</xdr:row>
      <xdr:rowOff>64270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5635" t="-23286"/>
        <a:stretch/>
      </xdr:blipFill>
      <xdr:spPr>
        <a:xfrm>
          <a:off x="4660900" y="0"/>
          <a:ext cx="1905000" cy="47067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419546</xdr:colOff>
      <xdr:row>20</xdr:row>
      <xdr:rowOff>49698</xdr:rowOff>
    </xdr:from>
    <xdr:to>
      <xdr:col>4</xdr:col>
      <xdr:colOff>369906</xdr:colOff>
      <xdr:row>31</xdr:row>
      <xdr:rowOff>152689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00000000-0008-0000-1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86321" y="4250223"/>
          <a:ext cx="1207660" cy="2303267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190500</xdr:colOff>
      <xdr:row>21</xdr:row>
      <xdr:rowOff>0</xdr:rowOff>
    </xdr:from>
    <xdr:to>
      <xdr:col>10</xdr:col>
      <xdr:colOff>456793</xdr:colOff>
      <xdr:row>32</xdr:row>
      <xdr:rowOff>91905</xdr:rowOff>
    </xdr:to>
    <xdr:pic>
      <xdr:nvPicPr>
        <xdr:cNvPr id="6" name="그림 5">
          <a:extLst>
            <a:ext uri="{FF2B5EF4-FFF2-40B4-BE49-F238E27FC236}">
              <a16:creationId xmlns:a16="http://schemas.microsoft.com/office/drawing/2014/main" id="{00000000-0008-0000-1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00525" y="4400550"/>
          <a:ext cx="2152243" cy="22921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0</xdr:colOff>
      <xdr:row>74</xdr:row>
      <xdr:rowOff>161925</xdr:rowOff>
    </xdr:from>
    <xdr:to>
      <xdr:col>3</xdr:col>
      <xdr:colOff>0</xdr:colOff>
      <xdr:row>74</xdr:row>
      <xdr:rowOff>161925</xdr:rowOff>
    </xdr:to>
    <xdr:sp macro="" textlink="">
      <xdr:nvSpPr>
        <xdr:cNvPr id="7" name="Line 210">
          <a:extLst>
            <a:ext uri="{FF2B5EF4-FFF2-40B4-BE49-F238E27FC236}">
              <a16:creationId xmlns:a16="http://schemas.microsoft.com/office/drawing/2014/main" id="{00000000-0008-0000-1100-000007000000}"/>
            </a:ext>
          </a:extLst>
        </xdr:cNvPr>
        <xdr:cNvSpPr>
          <a:spLocks noChangeShapeType="1"/>
        </xdr:cNvSpPr>
      </xdr:nvSpPr>
      <xdr:spPr bwMode="auto">
        <a:xfrm flipH="1">
          <a:off x="1323975" y="14963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5</xdr:col>
      <xdr:colOff>219809</xdr:colOff>
      <xdr:row>22</xdr:row>
      <xdr:rowOff>7327</xdr:rowOff>
    </xdr:from>
    <xdr:to>
      <xdr:col>6</xdr:col>
      <xdr:colOff>537538</xdr:colOff>
      <xdr:row>31</xdr:row>
      <xdr:rowOff>26883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11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01084" y="4607902"/>
          <a:ext cx="1117829" cy="18197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11</xdr:col>
      <xdr:colOff>12700</xdr:colOff>
      <xdr:row>2</xdr:row>
      <xdr:rowOff>64270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5635" t="-23286"/>
        <a:stretch/>
      </xdr:blipFill>
      <xdr:spPr>
        <a:xfrm>
          <a:off x="4660900" y="0"/>
          <a:ext cx="1905000" cy="47067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153866</xdr:colOff>
      <xdr:row>24</xdr:row>
      <xdr:rowOff>7327</xdr:rowOff>
    </xdr:from>
    <xdr:to>
      <xdr:col>10</xdr:col>
      <xdr:colOff>462116</xdr:colOff>
      <xdr:row>41</xdr:row>
      <xdr:rowOff>168932</xdr:rowOff>
    </xdr:to>
    <xdr:pic>
      <xdr:nvPicPr>
        <xdr:cNvPr id="8" name="그림 7">
          <a:extLst>
            <a:ext uri="{FF2B5EF4-FFF2-40B4-BE49-F238E27FC236}">
              <a16:creationId xmlns:a16="http://schemas.microsoft.com/office/drawing/2014/main" id="{00000000-0008-0000-12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35241" y="4807927"/>
          <a:ext cx="2870475" cy="35620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404892</xdr:colOff>
      <xdr:row>21</xdr:row>
      <xdr:rowOff>49698</xdr:rowOff>
    </xdr:from>
    <xdr:to>
      <xdr:col>4</xdr:col>
      <xdr:colOff>355252</xdr:colOff>
      <xdr:row>32</xdr:row>
      <xdr:rowOff>152690</xdr:rowOff>
    </xdr:to>
    <xdr:pic>
      <xdr:nvPicPr>
        <xdr:cNvPr id="9" name="Picture 2">
          <a:extLst>
            <a:ext uri="{FF2B5EF4-FFF2-40B4-BE49-F238E27FC236}">
              <a16:creationId xmlns:a16="http://schemas.microsoft.com/office/drawing/2014/main" id="{00000000-0008-0000-12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71667" y="4250223"/>
          <a:ext cx="1207660" cy="2303267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10</xdr:col>
      <xdr:colOff>596900</xdr:colOff>
      <xdr:row>2</xdr:row>
      <xdr:rowOff>64270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5635" t="-23286"/>
        <a:stretch/>
      </xdr:blipFill>
      <xdr:spPr>
        <a:xfrm>
          <a:off x="4660900" y="0"/>
          <a:ext cx="1905000" cy="47067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525532</xdr:colOff>
      <xdr:row>73</xdr:row>
      <xdr:rowOff>144136</xdr:rowOff>
    </xdr:from>
    <xdr:to>
      <xdr:col>27</xdr:col>
      <xdr:colOff>0</xdr:colOff>
      <xdr:row>77</xdr:row>
      <xdr:rowOff>25661</xdr:rowOff>
    </xdr:to>
    <xdr:sp macro="" textlink="">
      <xdr:nvSpPr>
        <xdr:cNvPr id="2" name="직사각형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 bwMode="auto">
        <a:xfrm>
          <a:off x="9069457" y="14945986"/>
          <a:ext cx="0" cy="681625"/>
        </a:xfrm>
        <a:prstGeom prst="rect">
          <a:avLst/>
        </a:prstGeom>
        <a:noFill/>
        <a:ln w="12700" cap="flat" cmpd="sng" algn="ctr">
          <a:solidFill>
            <a:schemeClr val="bg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ko-KR" altLang="en-US" sz="1200" b="1">
            <a:latin typeface="맑은 고딕" pitchFamily="50" charset="-127"/>
            <a:ea typeface="맑은 고딕" pitchFamily="50" charset="-127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32</xdr:row>
          <xdr:rowOff>66675</xdr:rowOff>
        </xdr:from>
        <xdr:to>
          <xdr:col>6</xdr:col>
          <xdr:colOff>247650</xdr:colOff>
          <xdr:row>41</xdr:row>
          <xdr:rowOff>0</xdr:rowOff>
        </xdr:to>
        <xdr:sp macro="" textlink="">
          <xdr:nvSpPr>
            <xdr:cNvPr id="144385" name="Object 13" hidden="1">
              <a:extLst>
                <a:ext uri="{63B3BB69-23CF-44E3-9099-C40C66FF867C}">
                  <a14:compatExt spid="_x0000_s144385"/>
                </a:ext>
                <a:ext uri="{FF2B5EF4-FFF2-40B4-BE49-F238E27FC236}">
                  <a16:creationId xmlns:a16="http://schemas.microsoft.com/office/drawing/2014/main" id="{00000000-0008-0000-0100-0000013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7</xdr:col>
      <xdr:colOff>0</xdr:colOff>
      <xdr:row>31</xdr:row>
      <xdr:rowOff>7325</xdr:rowOff>
    </xdr:from>
    <xdr:ext cx="2824887" cy="2115663"/>
    <xdr:pic>
      <xdr:nvPicPr>
        <xdr:cNvPr id="3" name="그림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9500" y="6408125"/>
          <a:ext cx="2824887" cy="2115663"/>
        </a:xfrm>
        <a:prstGeom prst="rect">
          <a:avLst/>
        </a:prstGeom>
      </xdr:spPr>
    </xdr:pic>
    <xdr:clientData/>
  </xdr:oneCellAnchor>
  <xdr:twoCellAnchor>
    <xdr:from>
      <xdr:col>1</xdr:col>
      <xdr:colOff>3663</xdr:colOff>
      <xdr:row>0</xdr:row>
      <xdr:rowOff>366346</xdr:rowOff>
    </xdr:from>
    <xdr:to>
      <xdr:col>12</xdr:col>
      <xdr:colOff>47625</xdr:colOff>
      <xdr:row>1</xdr:row>
      <xdr:rowOff>48408</xdr:rowOff>
    </xdr:to>
    <xdr:grpSp>
      <xdr:nvGrpSpPr>
        <xdr:cNvPr id="4" name="그룹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pSpPr>
          <a:grpSpLocks/>
        </xdr:cNvGrpSpPr>
      </xdr:nvGrpSpPr>
      <xdr:grpSpPr bwMode="auto">
        <a:xfrm>
          <a:off x="240146" y="366346"/>
          <a:ext cx="6415858" cy="82769"/>
          <a:chOff x="236963" y="752128"/>
          <a:chExt cx="6321635" cy="92637"/>
        </a:xfrm>
      </xdr:grpSpPr>
      <xdr:cxnSp macro="">
        <xdr:nvCxnSpPr>
          <xdr:cNvPr id="5" name="직선 연결선 4">
            <a:extLst>
              <a:ext uri="{FF2B5EF4-FFF2-40B4-BE49-F238E27FC236}">
                <a16:creationId xmlns:a16="http://schemas.microsoft.com/office/drawing/2014/main" id="{00000000-0008-0000-0100-000005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236963" y="799171"/>
            <a:ext cx="6264430" cy="0"/>
          </a:xfrm>
          <a:prstGeom prst="line">
            <a:avLst/>
          </a:prstGeom>
          <a:noFill/>
          <a:ln w="19050" algn="ctr">
            <a:solidFill>
              <a:srgbClr val="FF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sp macro="" textlink="">
        <xdr:nvSpPr>
          <xdr:cNvPr id="6" name="순서도: 연결자 5">
            <a:extLst>
              <a:ext uri="{FF2B5EF4-FFF2-40B4-BE49-F238E27FC236}">
                <a16:creationId xmlns:a16="http://schemas.microsoft.com/office/drawing/2014/main" id="{00000000-0008-0000-0100-000006000000}"/>
              </a:ext>
            </a:extLst>
          </xdr:cNvPr>
          <xdr:cNvSpPr/>
        </xdr:nvSpPr>
        <xdr:spPr bwMode="auto">
          <a:xfrm>
            <a:off x="6473933" y="752128"/>
            <a:ext cx="84665" cy="92637"/>
          </a:xfrm>
          <a:prstGeom prst="flowChartConnector">
            <a:avLst/>
          </a:prstGeom>
          <a:solidFill>
            <a:srgbClr val="FF0000"/>
          </a:solidFill>
          <a:ln w="12700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wrap="square" lIns="18288" tIns="0" rIns="0" bIns="0" rtlCol="0" anchor="ctr" upright="1"/>
          <a:lstStyle/>
          <a:p>
            <a:pPr algn="ctr"/>
            <a:endParaRPr lang="ko-KR" altLang="en-US" sz="1200" b="1">
              <a:latin typeface="맑은 고딕" pitchFamily="50" charset="-127"/>
              <a:ea typeface="맑은 고딕" pitchFamily="50" charset="-127"/>
            </a:endParaRPr>
          </a:p>
        </xdr:txBody>
      </xdr:sp>
    </xdr:grp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419546</xdr:colOff>
      <xdr:row>20</xdr:row>
      <xdr:rowOff>49698</xdr:rowOff>
    </xdr:from>
    <xdr:to>
      <xdr:col>4</xdr:col>
      <xdr:colOff>369906</xdr:colOff>
      <xdr:row>31</xdr:row>
      <xdr:rowOff>152689</xdr:rowOff>
    </xdr:to>
    <xdr:pic>
      <xdr:nvPicPr>
        <xdr:cNvPr id="8" name="Picture 2">
          <a:extLst>
            <a:ext uri="{FF2B5EF4-FFF2-40B4-BE49-F238E27FC236}">
              <a16:creationId xmlns:a16="http://schemas.microsoft.com/office/drawing/2014/main" id="{00000000-0008-0000-13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86321" y="4250223"/>
          <a:ext cx="1207660" cy="2303267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131884</xdr:colOff>
      <xdr:row>21</xdr:row>
      <xdr:rowOff>168519</xdr:rowOff>
    </xdr:from>
    <xdr:to>
      <xdr:col>10</xdr:col>
      <xdr:colOff>488548</xdr:colOff>
      <xdr:row>35</xdr:row>
      <xdr:rowOff>146952</xdr:rowOff>
    </xdr:to>
    <xdr:pic>
      <xdr:nvPicPr>
        <xdr:cNvPr id="9" name="그림 8">
          <a:extLst>
            <a:ext uri="{FF2B5EF4-FFF2-40B4-BE49-F238E27FC236}">
              <a16:creationId xmlns:a16="http://schemas.microsoft.com/office/drawing/2014/main" id="{00000000-0008-0000-13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41909" y="4569069"/>
          <a:ext cx="2242614" cy="27787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183173</xdr:colOff>
      <xdr:row>22</xdr:row>
      <xdr:rowOff>0</xdr:rowOff>
    </xdr:from>
    <xdr:to>
      <xdr:col>6</xdr:col>
      <xdr:colOff>500902</xdr:colOff>
      <xdr:row>31</xdr:row>
      <xdr:rowOff>19556</xdr:rowOff>
    </xdr:to>
    <xdr:pic>
      <xdr:nvPicPr>
        <xdr:cNvPr id="10" name="Picture 8">
          <a:extLst>
            <a:ext uri="{FF2B5EF4-FFF2-40B4-BE49-F238E27FC236}">
              <a16:creationId xmlns:a16="http://schemas.microsoft.com/office/drawing/2014/main" id="{00000000-0008-0000-1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4448" y="4600575"/>
          <a:ext cx="1117829" cy="18197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11</xdr:col>
      <xdr:colOff>12700</xdr:colOff>
      <xdr:row>2</xdr:row>
      <xdr:rowOff>64270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5635" t="-23286"/>
        <a:stretch/>
      </xdr:blipFill>
      <xdr:spPr>
        <a:xfrm>
          <a:off x="4660900" y="0"/>
          <a:ext cx="1905000" cy="47067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74</xdr:row>
      <xdr:rowOff>161925</xdr:rowOff>
    </xdr:from>
    <xdr:to>
      <xdr:col>3</xdr:col>
      <xdr:colOff>0</xdr:colOff>
      <xdr:row>74</xdr:row>
      <xdr:rowOff>161925</xdr:rowOff>
    </xdr:to>
    <xdr:sp macro="" textlink="">
      <xdr:nvSpPr>
        <xdr:cNvPr id="2" name="Line 210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SpPr>
          <a:spLocks noChangeShapeType="1"/>
        </xdr:cNvSpPr>
      </xdr:nvSpPr>
      <xdr:spPr bwMode="auto">
        <a:xfrm flipH="1">
          <a:off x="1323975" y="14963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2</xdr:col>
      <xdr:colOff>197826</xdr:colOff>
      <xdr:row>21</xdr:row>
      <xdr:rowOff>168519</xdr:rowOff>
    </xdr:from>
    <xdr:to>
      <xdr:col>4</xdr:col>
      <xdr:colOff>294542</xdr:colOff>
      <xdr:row>32</xdr:row>
      <xdr:rowOff>168519</xdr:rowOff>
    </xdr:to>
    <xdr:pic>
      <xdr:nvPicPr>
        <xdr:cNvPr id="4" name="Picture 8">
          <a:extLst>
            <a:ext uri="{FF2B5EF4-FFF2-40B4-BE49-F238E27FC236}">
              <a16:creationId xmlns:a16="http://schemas.microsoft.com/office/drawing/2014/main" id="{00000000-0008-0000-14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4601" y="4369044"/>
          <a:ext cx="1354016" cy="2200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131885</xdr:colOff>
      <xdr:row>25</xdr:row>
      <xdr:rowOff>124559</xdr:rowOff>
    </xdr:from>
    <xdr:to>
      <xdr:col>10</xdr:col>
      <xdr:colOff>491423</xdr:colOff>
      <xdr:row>40</xdr:row>
      <xdr:rowOff>196192</xdr:rowOff>
    </xdr:to>
    <xdr:pic>
      <xdr:nvPicPr>
        <xdr:cNvPr id="5" name="그림 4">
          <a:extLst>
            <a:ext uri="{FF2B5EF4-FFF2-40B4-BE49-F238E27FC236}">
              <a16:creationId xmlns:a16="http://schemas.microsoft.com/office/drawing/2014/main" id="{00000000-0008-0000-14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13260" y="5125184"/>
          <a:ext cx="2874138" cy="30720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11</xdr:col>
      <xdr:colOff>12700</xdr:colOff>
      <xdr:row>2</xdr:row>
      <xdr:rowOff>64270</xdr:rowOff>
    </xdr:to>
    <xdr:pic>
      <xdr:nvPicPr>
        <xdr:cNvPr id="3" name="그림 2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5635" t="-23286"/>
        <a:stretch/>
      </xdr:blipFill>
      <xdr:spPr>
        <a:xfrm>
          <a:off x="4660900" y="0"/>
          <a:ext cx="1905000" cy="47067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74</xdr:row>
      <xdr:rowOff>161925</xdr:rowOff>
    </xdr:from>
    <xdr:to>
      <xdr:col>3</xdr:col>
      <xdr:colOff>0</xdr:colOff>
      <xdr:row>74</xdr:row>
      <xdr:rowOff>161925</xdr:rowOff>
    </xdr:to>
    <xdr:sp macro="" textlink="">
      <xdr:nvSpPr>
        <xdr:cNvPr id="2" name="Line 210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SpPr>
          <a:spLocks noChangeShapeType="1"/>
        </xdr:cNvSpPr>
      </xdr:nvSpPr>
      <xdr:spPr bwMode="auto">
        <a:xfrm flipH="1">
          <a:off x="1323975" y="14963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6</xdr:col>
      <xdr:colOff>131885</xdr:colOff>
      <xdr:row>25</xdr:row>
      <xdr:rowOff>124559</xdr:rowOff>
    </xdr:from>
    <xdr:to>
      <xdr:col>10</xdr:col>
      <xdr:colOff>491423</xdr:colOff>
      <xdr:row>40</xdr:row>
      <xdr:rowOff>196192</xdr:rowOff>
    </xdr:to>
    <xdr:pic>
      <xdr:nvPicPr>
        <xdr:cNvPr id="4" name="그림 3">
          <a:extLst>
            <a:ext uri="{FF2B5EF4-FFF2-40B4-BE49-F238E27FC236}">
              <a16:creationId xmlns:a16="http://schemas.microsoft.com/office/drawing/2014/main" id="{00000000-0008-0000-1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13260" y="5125184"/>
          <a:ext cx="2874138" cy="30720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454270</xdr:colOff>
      <xdr:row>21</xdr:row>
      <xdr:rowOff>51289</xdr:rowOff>
    </xdr:from>
    <xdr:to>
      <xdr:col>4</xdr:col>
      <xdr:colOff>311623</xdr:colOff>
      <xdr:row>31</xdr:row>
      <xdr:rowOff>175845</xdr:rowOff>
    </xdr:to>
    <xdr:pic>
      <xdr:nvPicPr>
        <xdr:cNvPr id="5" name="그림 4">
          <a:extLst>
            <a:ext uri="{FF2B5EF4-FFF2-40B4-BE49-F238E27FC236}">
              <a16:creationId xmlns:a16="http://schemas.microsoft.com/office/drawing/2014/main" id="{00000000-0008-0000-15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395" y="4251814"/>
          <a:ext cx="1743303" cy="21248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11</xdr:col>
      <xdr:colOff>12700</xdr:colOff>
      <xdr:row>2</xdr:row>
      <xdr:rowOff>64270</xdr:rowOff>
    </xdr:to>
    <xdr:pic>
      <xdr:nvPicPr>
        <xdr:cNvPr id="3" name="그림 2">
          <a:extLst>
            <a:ext uri="{FF2B5EF4-FFF2-40B4-BE49-F238E27FC236}">
              <a16:creationId xmlns:a16="http://schemas.microsoft.com/office/drawing/2014/main" id="{00000000-0008-0000-15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5635" t="-23286"/>
        <a:stretch/>
      </xdr:blipFill>
      <xdr:spPr>
        <a:xfrm>
          <a:off x="4660900" y="0"/>
          <a:ext cx="1905000" cy="47067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186774</xdr:rowOff>
    </xdr:from>
    <xdr:to>
      <xdr:col>12</xdr:col>
      <xdr:colOff>47625</xdr:colOff>
      <xdr:row>2</xdr:row>
      <xdr:rowOff>72474</xdr:rowOff>
    </xdr:to>
    <xdr:grpSp>
      <xdr:nvGrpSpPr>
        <xdr:cNvPr id="6" name="그룹 14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GrpSpPr>
          <a:grpSpLocks/>
        </xdr:cNvGrpSpPr>
      </xdr:nvGrpSpPr>
      <xdr:grpSpPr bwMode="auto">
        <a:xfrm>
          <a:off x="238125" y="434424"/>
          <a:ext cx="6400800" cy="133350"/>
          <a:chOff x="236963" y="752128"/>
          <a:chExt cx="6321635" cy="92637"/>
        </a:xfrm>
      </xdr:grpSpPr>
      <xdr:cxnSp macro="">
        <xdr:nvCxnSpPr>
          <xdr:cNvPr id="7" name="직선 연결선 15"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236963" y="799171"/>
            <a:ext cx="6264430" cy="0"/>
          </a:xfrm>
          <a:prstGeom prst="line">
            <a:avLst/>
          </a:prstGeom>
          <a:noFill/>
          <a:ln w="19050" algn="ctr">
            <a:solidFill>
              <a:srgbClr val="FF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sp macro="" textlink="">
        <xdr:nvSpPr>
          <xdr:cNvPr id="8" name="순서도: 연결자 7">
            <a:extLst>
              <a:ext uri="{FF2B5EF4-FFF2-40B4-BE49-F238E27FC236}">
                <a16:creationId xmlns:a16="http://schemas.microsoft.com/office/drawing/2014/main" id="{00000000-0008-0000-0200-000008000000}"/>
              </a:ext>
            </a:extLst>
          </xdr:cNvPr>
          <xdr:cNvSpPr/>
        </xdr:nvSpPr>
        <xdr:spPr bwMode="auto">
          <a:xfrm>
            <a:off x="6473933" y="752128"/>
            <a:ext cx="84665" cy="92637"/>
          </a:xfrm>
          <a:prstGeom prst="flowChartConnector">
            <a:avLst/>
          </a:prstGeom>
          <a:solidFill>
            <a:srgbClr val="FF0000"/>
          </a:solidFill>
          <a:ln w="12700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wrap="square" lIns="18288" tIns="0" rIns="0" bIns="0" rtlCol="0" anchor="ctr" upright="1"/>
          <a:lstStyle/>
          <a:p>
            <a:pPr algn="ctr"/>
            <a:endParaRPr lang="ko-KR" altLang="en-US" sz="1200" b="1">
              <a:latin typeface="맑은 고딕" pitchFamily="50" charset="-127"/>
              <a:ea typeface="맑은 고딕" pitchFamily="50" charset="-127"/>
            </a:endParaRPr>
          </a:p>
        </xdr:txBody>
      </xdr:sp>
    </xdr:grpSp>
    <xdr:clientData/>
  </xdr:twoCellAnchor>
  <xdr:twoCellAnchor editAs="oneCell">
    <xdr:from>
      <xdr:col>9</xdr:col>
      <xdr:colOff>0</xdr:colOff>
      <xdr:row>5</xdr:row>
      <xdr:rowOff>0</xdr:rowOff>
    </xdr:from>
    <xdr:to>
      <xdr:col>12</xdr:col>
      <xdr:colOff>190500</xdr:colOff>
      <xdr:row>6</xdr:row>
      <xdr:rowOff>221555</xdr:rowOff>
    </xdr:to>
    <xdr:pic>
      <xdr:nvPicPr>
        <xdr:cNvPr id="5" name="그림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5635" t="-23286"/>
        <a:stretch/>
      </xdr:blipFill>
      <xdr:spPr>
        <a:xfrm>
          <a:off x="4894385" y="1245577"/>
          <a:ext cx="1905000" cy="47067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404892</xdr:colOff>
      <xdr:row>21</xdr:row>
      <xdr:rowOff>49698</xdr:rowOff>
    </xdr:from>
    <xdr:to>
      <xdr:col>4</xdr:col>
      <xdr:colOff>355252</xdr:colOff>
      <xdr:row>32</xdr:row>
      <xdr:rowOff>152690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71667" y="4250223"/>
          <a:ext cx="1207660" cy="2303267"/>
        </a:xfrm>
        <a:prstGeom prst="rect">
          <a:avLst/>
        </a:prstGeom>
        <a:noFill/>
      </xdr:spPr>
    </xdr:pic>
    <xdr:clientData/>
  </xdr:twoCellAnchor>
  <xdr:twoCellAnchor>
    <xdr:from>
      <xdr:col>3</xdr:col>
      <xdr:colOff>0</xdr:colOff>
      <xdr:row>74</xdr:row>
      <xdr:rowOff>161925</xdr:rowOff>
    </xdr:from>
    <xdr:to>
      <xdr:col>3</xdr:col>
      <xdr:colOff>0</xdr:colOff>
      <xdr:row>74</xdr:row>
      <xdr:rowOff>161925</xdr:rowOff>
    </xdr:to>
    <xdr:sp macro="" textlink="">
      <xdr:nvSpPr>
        <xdr:cNvPr id="8" name="Line 210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>
          <a:spLocks noChangeShapeType="1"/>
        </xdr:cNvSpPr>
      </xdr:nvSpPr>
      <xdr:spPr bwMode="auto">
        <a:xfrm flipH="1">
          <a:off x="1495425" y="14963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6</xdr:col>
      <xdr:colOff>175845</xdr:colOff>
      <xdr:row>25</xdr:row>
      <xdr:rowOff>131884</xdr:rowOff>
    </xdr:from>
    <xdr:to>
      <xdr:col>10</xdr:col>
      <xdr:colOff>537318</xdr:colOff>
      <xdr:row>41</xdr:row>
      <xdr:rowOff>0</xdr:rowOff>
    </xdr:to>
    <xdr:pic>
      <xdr:nvPicPr>
        <xdr:cNvPr id="10" name="그림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3557" y="5077557"/>
          <a:ext cx="2874607" cy="30333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11</xdr:col>
      <xdr:colOff>12700</xdr:colOff>
      <xdr:row>2</xdr:row>
      <xdr:rowOff>64270</xdr:rowOff>
    </xdr:to>
    <xdr:pic>
      <xdr:nvPicPr>
        <xdr:cNvPr id="9" name="그림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5635" t="-23286"/>
        <a:stretch/>
      </xdr:blipFill>
      <xdr:spPr>
        <a:xfrm>
          <a:off x="4660900" y="0"/>
          <a:ext cx="1905000" cy="47067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419546</xdr:colOff>
      <xdr:row>20</xdr:row>
      <xdr:rowOff>49698</xdr:rowOff>
    </xdr:from>
    <xdr:to>
      <xdr:col>4</xdr:col>
      <xdr:colOff>369906</xdr:colOff>
      <xdr:row>31</xdr:row>
      <xdr:rowOff>152689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86321" y="4250223"/>
          <a:ext cx="1207660" cy="2303267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190500</xdr:colOff>
      <xdr:row>21</xdr:row>
      <xdr:rowOff>0</xdr:rowOff>
    </xdr:from>
    <xdr:to>
      <xdr:col>10</xdr:col>
      <xdr:colOff>456793</xdr:colOff>
      <xdr:row>32</xdr:row>
      <xdr:rowOff>91905</xdr:rowOff>
    </xdr:to>
    <xdr:pic>
      <xdr:nvPicPr>
        <xdr:cNvPr id="9" name="그림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8327" y="4352192"/>
          <a:ext cx="2149312" cy="226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0</xdr:colOff>
      <xdr:row>74</xdr:row>
      <xdr:rowOff>161925</xdr:rowOff>
    </xdr:from>
    <xdr:to>
      <xdr:col>3</xdr:col>
      <xdr:colOff>0</xdr:colOff>
      <xdr:row>74</xdr:row>
      <xdr:rowOff>161925</xdr:rowOff>
    </xdr:to>
    <xdr:sp macro="" textlink="">
      <xdr:nvSpPr>
        <xdr:cNvPr id="10" name="Line 210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>
          <a:spLocks noChangeShapeType="1"/>
        </xdr:cNvSpPr>
      </xdr:nvSpPr>
      <xdr:spPr bwMode="auto">
        <a:xfrm flipH="1">
          <a:off x="1323975" y="14963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5</xdr:col>
      <xdr:colOff>219809</xdr:colOff>
      <xdr:row>22</xdr:row>
      <xdr:rowOff>7327</xdr:rowOff>
    </xdr:from>
    <xdr:to>
      <xdr:col>6</xdr:col>
      <xdr:colOff>537538</xdr:colOff>
      <xdr:row>31</xdr:row>
      <xdr:rowOff>26883</xdr:rowOff>
    </xdr:to>
    <xdr:pic>
      <xdr:nvPicPr>
        <xdr:cNvPr id="12" name="Picture 8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98886" y="4557346"/>
          <a:ext cx="1116364" cy="180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11</xdr:col>
      <xdr:colOff>12700</xdr:colOff>
      <xdr:row>2</xdr:row>
      <xdr:rowOff>64270</xdr:rowOff>
    </xdr:to>
    <xdr:pic>
      <xdr:nvPicPr>
        <xdr:cNvPr id="3" name="그림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5635" t="-23286"/>
        <a:stretch/>
      </xdr:blipFill>
      <xdr:spPr>
        <a:xfrm>
          <a:off x="4660900" y="0"/>
          <a:ext cx="1905000" cy="47067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404892</xdr:colOff>
      <xdr:row>21</xdr:row>
      <xdr:rowOff>49698</xdr:rowOff>
    </xdr:from>
    <xdr:to>
      <xdr:col>4</xdr:col>
      <xdr:colOff>355252</xdr:colOff>
      <xdr:row>32</xdr:row>
      <xdr:rowOff>152690</xdr:rowOff>
    </xdr:to>
    <xdr:pic>
      <xdr:nvPicPr>
        <xdr:cNvPr id="9" name="Picture 2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71667" y="4250223"/>
          <a:ext cx="1207660" cy="2303267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131885</xdr:colOff>
      <xdr:row>25</xdr:row>
      <xdr:rowOff>80596</xdr:rowOff>
    </xdr:from>
    <xdr:to>
      <xdr:col>10</xdr:col>
      <xdr:colOff>498751</xdr:colOff>
      <xdr:row>40</xdr:row>
      <xdr:rowOff>160189</xdr:rowOff>
    </xdr:to>
    <xdr:pic>
      <xdr:nvPicPr>
        <xdr:cNvPr id="11" name="그림 10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9597" y="5026269"/>
          <a:ext cx="2880000" cy="30469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11</xdr:col>
      <xdr:colOff>12700</xdr:colOff>
      <xdr:row>2</xdr:row>
      <xdr:rowOff>64270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5635" t="-23286"/>
        <a:stretch/>
      </xdr:blipFill>
      <xdr:spPr>
        <a:xfrm>
          <a:off x="4660900" y="0"/>
          <a:ext cx="1905000" cy="47067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419546</xdr:colOff>
      <xdr:row>20</xdr:row>
      <xdr:rowOff>49698</xdr:rowOff>
    </xdr:from>
    <xdr:to>
      <xdr:col>4</xdr:col>
      <xdr:colOff>369906</xdr:colOff>
      <xdr:row>31</xdr:row>
      <xdr:rowOff>152689</xdr:rowOff>
    </xdr:to>
    <xdr:pic>
      <xdr:nvPicPr>
        <xdr:cNvPr id="8" name="Picture 2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86321" y="4250223"/>
          <a:ext cx="1207660" cy="2303267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102576</xdr:colOff>
      <xdr:row>21</xdr:row>
      <xdr:rowOff>0</xdr:rowOff>
    </xdr:from>
    <xdr:to>
      <xdr:col>10</xdr:col>
      <xdr:colOff>517826</xdr:colOff>
      <xdr:row>33</xdr:row>
      <xdr:rowOff>57613</xdr:rowOff>
    </xdr:to>
    <xdr:pic>
      <xdr:nvPicPr>
        <xdr:cNvPr id="13" name="그림 12">
          <a:extLst>
            <a:ext uri="{FF2B5EF4-FFF2-40B4-BE49-F238E27FC236}">
              <a16:creationId xmlns:a16="http://schemas.microsoft.com/office/drawing/2014/main" id="{00000000-0008-0000-06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10403" y="4352192"/>
          <a:ext cx="2298269" cy="24315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175846</xdr:colOff>
      <xdr:row>22</xdr:row>
      <xdr:rowOff>0</xdr:rowOff>
    </xdr:from>
    <xdr:to>
      <xdr:col>6</xdr:col>
      <xdr:colOff>493575</xdr:colOff>
      <xdr:row>31</xdr:row>
      <xdr:rowOff>19556</xdr:rowOff>
    </xdr:to>
    <xdr:pic>
      <xdr:nvPicPr>
        <xdr:cNvPr id="14" name="Picture 8">
          <a:extLst>
            <a:ext uri="{FF2B5EF4-FFF2-40B4-BE49-F238E27FC236}">
              <a16:creationId xmlns:a16="http://schemas.microsoft.com/office/drawing/2014/main" id="{00000000-0008-0000-06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4923" y="4550019"/>
          <a:ext cx="1116364" cy="180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11</xdr:col>
      <xdr:colOff>12700</xdr:colOff>
      <xdr:row>2</xdr:row>
      <xdr:rowOff>64270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5635" t="-23286"/>
        <a:stretch/>
      </xdr:blipFill>
      <xdr:spPr>
        <a:xfrm>
          <a:off x="4660900" y="0"/>
          <a:ext cx="1905000" cy="47067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153866</xdr:colOff>
      <xdr:row>24</xdr:row>
      <xdr:rowOff>7327</xdr:rowOff>
    </xdr:from>
    <xdr:to>
      <xdr:col>10</xdr:col>
      <xdr:colOff>462116</xdr:colOff>
      <xdr:row>41</xdr:row>
      <xdr:rowOff>168932</xdr:rowOff>
    </xdr:to>
    <xdr:pic>
      <xdr:nvPicPr>
        <xdr:cNvPr id="23" name="그림 22">
          <a:extLst>
            <a:ext uri="{FF2B5EF4-FFF2-40B4-BE49-F238E27FC236}">
              <a16:creationId xmlns:a16="http://schemas.microsoft.com/office/drawing/2014/main" id="{00000000-0008-0000-07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46231" y="4755173"/>
          <a:ext cx="2880000" cy="35246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404892</xdr:colOff>
      <xdr:row>21</xdr:row>
      <xdr:rowOff>49698</xdr:rowOff>
    </xdr:from>
    <xdr:to>
      <xdr:col>4</xdr:col>
      <xdr:colOff>355252</xdr:colOff>
      <xdr:row>32</xdr:row>
      <xdr:rowOff>152690</xdr:rowOff>
    </xdr:to>
    <xdr:pic>
      <xdr:nvPicPr>
        <xdr:cNvPr id="14" name="Picture 2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76796" y="4204063"/>
          <a:ext cx="1203264" cy="2279089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10</xdr:col>
      <xdr:colOff>596900</xdr:colOff>
      <xdr:row>2</xdr:row>
      <xdr:rowOff>64270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5635" t="-23286"/>
        <a:stretch/>
      </xdr:blipFill>
      <xdr:spPr>
        <a:xfrm>
          <a:off x="4660900" y="0"/>
          <a:ext cx="1905000" cy="47067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419546</xdr:colOff>
      <xdr:row>20</xdr:row>
      <xdr:rowOff>49698</xdr:rowOff>
    </xdr:from>
    <xdr:to>
      <xdr:col>4</xdr:col>
      <xdr:colOff>369906</xdr:colOff>
      <xdr:row>31</xdr:row>
      <xdr:rowOff>152689</xdr:rowOff>
    </xdr:to>
    <xdr:pic>
      <xdr:nvPicPr>
        <xdr:cNvPr id="9" name="Picture 2">
          <a:extLst>
            <a:ext uri="{FF2B5EF4-FFF2-40B4-BE49-F238E27FC236}">
              <a16:creationId xmlns:a16="http://schemas.microsoft.com/office/drawing/2014/main" id="{00000000-0008-0000-08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91450" y="4204063"/>
          <a:ext cx="1203264" cy="2279089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131884</xdr:colOff>
      <xdr:row>21</xdr:row>
      <xdr:rowOff>168519</xdr:rowOff>
    </xdr:from>
    <xdr:to>
      <xdr:col>10</xdr:col>
      <xdr:colOff>488548</xdr:colOff>
      <xdr:row>35</xdr:row>
      <xdr:rowOff>146952</xdr:rowOff>
    </xdr:to>
    <xdr:pic>
      <xdr:nvPicPr>
        <xdr:cNvPr id="11" name="그림 10">
          <a:extLst>
            <a:ext uri="{FF2B5EF4-FFF2-40B4-BE49-F238E27FC236}">
              <a16:creationId xmlns:a16="http://schemas.microsoft.com/office/drawing/2014/main" id="{00000000-0008-0000-08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39711" y="4520711"/>
          <a:ext cx="2239683" cy="27480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183173</xdr:colOff>
      <xdr:row>22</xdr:row>
      <xdr:rowOff>0</xdr:rowOff>
    </xdr:from>
    <xdr:to>
      <xdr:col>6</xdr:col>
      <xdr:colOff>500902</xdr:colOff>
      <xdr:row>31</xdr:row>
      <xdr:rowOff>19556</xdr:rowOff>
    </xdr:to>
    <xdr:pic>
      <xdr:nvPicPr>
        <xdr:cNvPr id="12" name="Picture 8">
          <a:extLst>
            <a:ext uri="{FF2B5EF4-FFF2-40B4-BE49-F238E27FC236}">
              <a16:creationId xmlns:a16="http://schemas.microsoft.com/office/drawing/2014/main" id="{00000000-0008-0000-08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0" y="4550019"/>
          <a:ext cx="1116364" cy="180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11</xdr:col>
      <xdr:colOff>12700</xdr:colOff>
      <xdr:row>2</xdr:row>
      <xdr:rowOff>64270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5635" t="-23286"/>
        <a:stretch/>
      </xdr:blipFill>
      <xdr:spPr>
        <a:xfrm>
          <a:off x="4660900" y="0"/>
          <a:ext cx="1905000" cy="47067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48512;&#51116;&#49444;&#44228;\&#48380;&#53944;&amp;&#54540;&#47112;&#51060;&#53944;&amp;&#50857;&#51217;\&#47732;&#45236;&#48169;&#54693;%20&#54540;&#47112;&#51060;&#53944;%20&amp;%20&#50857;&#51217;(&#50672;&#44208;&#45796;&#47532;&#48512;&#48516;BR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&#44608;&#44600;&#50724;\Desktop\00-&#49884;&#51089;\CONNECTION%20(&#54728;&#52268;&#44508;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sers\&#44608;&#44600;&#50724;\Desktop\00-&#49884;&#51089;\CONNECTION%20(&#54728;&#52268;&#44508;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51060;&#44397;&#54872;\&#50577;&#49885;\03.%20&#48372;&#44256;&#49436;%20&#49688;&#51221;%20&#50577;&#49885;\CONNECTION%20(&#54728;&#52268;&#44508;)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am3\&#44396;&#51312;&#54016;\09.%20&#51060;&#44397;&#54872;\02.%20&#51060;&#49836;&#48120;\&#48372;&#44256;&#49436;\CONNECTION%20(&#54728;&#52268;&#44508;)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51060;&#44397;&#54872;\2017-&#44396;&#51312;\&#44544;&#46972;&#49828;&#53457;\06.%20&#51064;&#52380;&#44277;&#54637;%20T2&#51204;&#47732;%20-%20&#50976;&#47532;&#55040;&#49828;(MPG)\CONNECTION%20(&#54728;&#52268;&#44508;)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51060;&#46041;&#50896;\2014&#54532;&#47196;&#51229;&#53944;\&#44256;&#51064;&#46028;\01.%20&#54028;&#51452;%20&#49345;&#51648;&#49437;&#46041;%20&#44277;&#51109;\CONNECTION%20(&#54728;&#52268;&#44508;).xlsx" TargetMode="External"/></Relationships>
</file>

<file path=xl/externalLinks/_rels/externalLink8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etc\&#50577;&#49885;\00.%20&#48372;&#44256;&#49436;%20&#50577;&#49885;\1.%20&#48372;&#44256;&#49436;&#49884;&#51089;(KDS%20&#54728;&#50857;&#51025;&#47141;)_21.11.25.xlsx" TargetMode="External"/><Relationship Id="rId1" Type="http://schemas.openxmlformats.org/officeDocument/2006/relationships/externalLinkPath" Target="file:///D:\etc\&#50577;&#49885;\00.%20&#48372;&#44256;&#49436;%20&#50577;&#49885;\1.%20&#48372;&#44256;&#49436;&#49884;&#51089;(KDS%20&#54728;&#50857;&#51025;&#47141;)_21.11.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 (2)"/>
      <sheetName val="Sheet1"/>
      <sheetName val="Sheet2"/>
      <sheetName val="Sheet3"/>
    </sheetNames>
    <sheetDataSet>
      <sheetData sheetId="0"/>
      <sheetData sheetId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1"/>
      <sheetName val="A2"/>
      <sheetName val="W1"/>
      <sheetName val="W2"/>
      <sheetName val="SC"/>
      <sheetName val="BO"/>
    </sheetNames>
    <sheetDataSet>
      <sheetData sheetId="0">
        <row r="62">
          <cell r="AB62">
            <v>1</v>
          </cell>
          <cell r="AC62">
            <v>2</v>
          </cell>
          <cell r="AD62">
            <v>3</v>
          </cell>
          <cell r="AE62">
            <v>4</v>
          </cell>
          <cell r="AF62">
            <v>5</v>
          </cell>
          <cell r="AG62">
            <v>6</v>
          </cell>
        </row>
        <row r="66">
          <cell r="N66" t="str">
            <v>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1"/>
      <sheetName val="A2"/>
      <sheetName val="W1"/>
      <sheetName val="W2"/>
      <sheetName val="SC"/>
      <sheetName val="BO"/>
    </sheetNames>
    <sheetDataSet>
      <sheetData sheetId="0">
        <row r="62">
          <cell r="AB62">
            <v>1</v>
          </cell>
          <cell r="AC62">
            <v>2</v>
          </cell>
          <cell r="AD62">
            <v>3</v>
          </cell>
          <cell r="AE62">
            <v>4</v>
          </cell>
          <cell r="AF62">
            <v>5</v>
          </cell>
          <cell r="AG62">
            <v>6</v>
          </cell>
        </row>
        <row r="66">
          <cell r="N66" t="str">
            <v>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1"/>
      <sheetName val="A2"/>
      <sheetName val="W1"/>
      <sheetName val="W2"/>
      <sheetName val="SC"/>
      <sheetName val="BO"/>
    </sheetNames>
    <sheetDataSet>
      <sheetData sheetId="0">
        <row r="62">
          <cell r="AB62">
            <v>1</v>
          </cell>
          <cell r="AC62">
            <v>2</v>
          </cell>
          <cell r="AD62">
            <v>3</v>
          </cell>
          <cell r="AE62">
            <v>4</v>
          </cell>
          <cell r="AF62">
            <v>5</v>
          </cell>
          <cell r="AG62">
            <v>6</v>
          </cell>
        </row>
        <row r="66">
          <cell r="N66" t="str">
            <v>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1"/>
      <sheetName val="A2"/>
      <sheetName val="W1"/>
      <sheetName val="W2"/>
      <sheetName val="SC"/>
      <sheetName val="BO"/>
    </sheetNames>
    <sheetDataSet>
      <sheetData sheetId="0">
        <row r="62">
          <cell r="AB62">
            <v>1</v>
          </cell>
          <cell r="AC62">
            <v>2</v>
          </cell>
          <cell r="AD62">
            <v>3</v>
          </cell>
          <cell r="AE62">
            <v>4</v>
          </cell>
          <cell r="AF62">
            <v>5</v>
          </cell>
          <cell r="AG62">
            <v>6</v>
          </cell>
        </row>
        <row r="66">
          <cell r="N66" t="str">
            <v>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1"/>
      <sheetName val="A2"/>
      <sheetName val="W1"/>
      <sheetName val="W2"/>
      <sheetName val="SC"/>
      <sheetName val="BO"/>
    </sheetNames>
    <sheetDataSet>
      <sheetData sheetId="0">
        <row r="62">
          <cell r="AB62">
            <v>1</v>
          </cell>
          <cell r="AC62">
            <v>2</v>
          </cell>
          <cell r="AD62">
            <v>3</v>
          </cell>
          <cell r="AE62">
            <v>4</v>
          </cell>
          <cell r="AF62">
            <v>5</v>
          </cell>
          <cell r="AG62">
            <v>6</v>
          </cell>
        </row>
        <row r="66">
          <cell r="N66" t="str">
            <v>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1"/>
      <sheetName val="A2"/>
      <sheetName val="W1"/>
      <sheetName val="W2"/>
      <sheetName val="SC"/>
      <sheetName val="BO"/>
    </sheetNames>
    <sheetDataSet>
      <sheetData sheetId="0">
        <row r="62">
          <cell r="AB62">
            <v>1</v>
          </cell>
          <cell r="AC62">
            <v>2</v>
          </cell>
          <cell r="AD62">
            <v>3</v>
          </cell>
          <cell r="AE62">
            <v>4</v>
          </cell>
          <cell r="AF62">
            <v>5</v>
          </cell>
          <cell r="AG62">
            <v>6</v>
          </cell>
        </row>
        <row r="66">
          <cell r="N66" t="str">
            <v>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6063-"/>
      <sheetName val="표지"/>
      <sheetName val="뒷장"/>
      <sheetName val="차례"/>
      <sheetName val="REF"/>
      <sheetName val="1"/>
      <sheetName val="2"/>
      <sheetName val="20m↑"/>
      <sheetName val="20m.↑"/>
      <sheetName val="20m↓"/>
      <sheetName val="20m.↓"/>
      <sheetName val="지진하중"/>
      <sheetName val="4"/>
      <sheetName val="ST'L"/>
      <sheetName val="단 M"/>
      <sheetName val="단 Re M"/>
      <sheetName val="단 ST'L M"/>
      <sheetName val="단 ST'L Re M"/>
      <sheetName val="M"/>
      <sheetName val="Re.M"/>
      <sheetName val="T"/>
      <sheetName val="Re.T"/>
      <sheetName val="Cor."/>
      <sheetName val="Re.Cor"/>
      <sheetName val="단면 ST'L M"/>
      <sheetName val="단면 ST'L 보강"/>
      <sheetName val="단면 ST'L T"/>
      <sheetName val="Unit (ㅁ)"/>
      <sheetName val="Re.Unit (ㅁ)"/>
      <sheetName val="Unit_COR (ㅁ)"/>
      <sheetName val="Unit.T"/>
      <sheetName val="A"/>
      <sheetName val="An (HILTI-HSA)"/>
      <sheetName val="An (Wonjin-WSA)"/>
      <sheetName val="T Bolt"/>
      <sheetName val="BR"/>
      <sheetName val="RIB BR"/>
      <sheetName val="BOLT"/>
      <sheetName val="WELD"/>
      <sheetName val="SCREW"/>
      <sheetName val="Bite"/>
      <sheetName val="유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19050" cap="flat" cmpd="sng" algn="ctr">
          <a:solidFill>
            <a:srgbClr val="000000"/>
          </a:solidFill>
          <a:prstDash val="dash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19050" cap="flat" cmpd="sng" algn="ctr">
          <a:solidFill>
            <a:srgbClr val="000000"/>
          </a:solidFill>
          <a:prstDash val="dash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citywalleng.co.kr/" TargetMode="External"/><Relationship Id="rId6" Type="http://schemas.openxmlformats.org/officeDocument/2006/relationships/image" Target="../media/image1.emf"/><Relationship Id="rId5" Type="http://schemas.openxmlformats.org/officeDocument/2006/relationships/oleObject" Target="../embeddings/oleObject1.bin"/><Relationship Id="rId4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citywalleng.co.kr/" TargetMode="External"/><Relationship Id="rId6" Type="http://schemas.openxmlformats.org/officeDocument/2006/relationships/image" Target="../media/image4.emf"/><Relationship Id="rId5" Type="http://schemas.openxmlformats.org/officeDocument/2006/relationships/oleObject" Target="../embeddings/oleObject2.bin"/><Relationship Id="rId4" Type="http://schemas.openxmlformats.org/officeDocument/2006/relationships/vmlDrawing" Target="../drawings/vmlDrawing2.vml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2B2800-087C-4064-9735-E1F8440F559F}">
  <sheetPr codeName="Sheet1"/>
  <dimension ref="A1:AF151"/>
  <sheetViews>
    <sheetView view="pageBreakPreview" zoomScale="75" zoomScaleNormal="100" zoomScaleSheetLayoutView="75" workbookViewId="0">
      <selection activeCell="F12" sqref="F12"/>
    </sheetView>
  </sheetViews>
  <sheetFormatPr defaultColWidth="5.77734375" defaultRowHeight="14.25" x14ac:dyDescent="0.15"/>
  <cols>
    <col min="1" max="2" width="2.77734375" style="17" customWidth="1"/>
    <col min="3" max="9" width="7.33203125" style="17" customWidth="1"/>
    <col min="10" max="11" width="7.33203125" style="18" customWidth="1"/>
    <col min="12" max="12" width="5.33203125" style="18" customWidth="1"/>
    <col min="13" max="13" width="2.77734375" style="18" customWidth="1"/>
    <col min="14" max="16" width="6.77734375" style="17" customWidth="1"/>
    <col min="17" max="26" width="5.77734375" style="17" hidden="1" customWidth="1"/>
    <col min="27" max="34" width="5.77734375" style="17" customWidth="1"/>
    <col min="35" max="16384" width="5.77734375" style="17"/>
  </cols>
  <sheetData>
    <row r="1" spans="1:16" s="2" customFormat="1" ht="32.1" customHeight="1" x14ac:dyDescent="0.15">
      <c r="A1" s="1"/>
      <c r="B1" s="365" t="s">
        <v>412</v>
      </c>
      <c r="C1" s="365"/>
      <c r="D1" s="365"/>
      <c r="E1" s="365"/>
      <c r="F1" s="365"/>
      <c r="G1" s="365"/>
      <c r="H1" s="365"/>
      <c r="I1" s="365"/>
      <c r="J1" s="365"/>
      <c r="K1" s="365"/>
      <c r="L1" s="365"/>
      <c r="M1" s="365"/>
      <c r="O1" s="7"/>
      <c r="P1" s="7"/>
    </row>
    <row r="2" spans="1:16" s="2" customFormat="1" ht="15.95" customHeight="1" x14ac:dyDescent="0.15">
      <c r="A2" s="1"/>
      <c r="B2" s="365"/>
      <c r="C2" s="365"/>
      <c r="D2" s="365"/>
      <c r="E2" s="365"/>
      <c r="F2" s="365"/>
      <c r="G2" s="365"/>
      <c r="H2" s="365"/>
      <c r="I2" s="365"/>
      <c r="J2" s="365"/>
      <c r="K2" s="365"/>
      <c r="L2" s="365"/>
      <c r="M2" s="365"/>
      <c r="O2" s="7"/>
      <c r="P2" s="7"/>
    </row>
    <row r="3" spans="1:16" s="7" customFormat="1" ht="15.95" customHeight="1" x14ac:dyDescent="0.15">
      <c r="B3" s="8" t="s">
        <v>12</v>
      </c>
      <c r="C3" s="358" t="s">
        <v>1005</v>
      </c>
      <c r="I3" s="9"/>
    </row>
    <row r="4" spans="1:16" s="7" customFormat="1" ht="15.95" customHeight="1" x14ac:dyDescent="0.15">
      <c r="A4" s="10"/>
      <c r="C4" s="475"/>
    </row>
    <row r="5" spans="1:16" s="476" customFormat="1" ht="15.95" customHeight="1" x14ac:dyDescent="0.15">
      <c r="B5" s="477" t="s">
        <v>13</v>
      </c>
      <c r="C5" s="476" t="s">
        <v>522</v>
      </c>
      <c r="J5" s="665" t="s">
        <v>1006</v>
      </c>
      <c r="K5" s="665"/>
      <c r="L5" s="665"/>
      <c r="M5" s="665"/>
    </row>
    <row r="6" spans="1:16" s="6" customFormat="1" ht="15.95" customHeight="1" x14ac:dyDescent="0.15">
      <c r="B6" s="477"/>
      <c r="C6" s="476"/>
    </row>
    <row r="7" spans="1:16" s="6" customFormat="1" ht="15.95" customHeight="1" x14ac:dyDescent="0.15">
      <c r="B7" s="12" t="s">
        <v>523</v>
      </c>
    </row>
    <row r="8" spans="1:16" s="6" customFormat="1" ht="15.95" customHeight="1" x14ac:dyDescent="0.15">
      <c r="B8" s="12"/>
    </row>
    <row r="9" spans="1:16" s="7" customFormat="1" ht="15.95" customHeight="1" x14ac:dyDescent="0.15">
      <c r="B9" s="8" t="s">
        <v>12</v>
      </c>
      <c r="C9" s="7" t="s">
        <v>16</v>
      </c>
      <c r="E9" s="478" t="s">
        <v>17</v>
      </c>
      <c r="F9" s="666" t="str">
        <f>풍하중!F9</f>
        <v>서울 특별시</v>
      </c>
      <c r="G9" s="666"/>
      <c r="H9" s="358"/>
      <c r="I9" s="358"/>
      <c r="J9" s="358"/>
    </row>
    <row r="10" spans="1:16" s="7" customFormat="1" ht="15.95" customHeight="1" x14ac:dyDescent="0.15">
      <c r="B10" s="8" t="s">
        <v>12</v>
      </c>
      <c r="C10" s="7" t="s">
        <v>524</v>
      </c>
      <c r="E10" s="478" t="s">
        <v>17</v>
      </c>
      <c r="F10" s="356">
        <f>풍하중!F10</f>
        <v>19</v>
      </c>
      <c r="G10" s="357" t="s">
        <v>18</v>
      </c>
      <c r="H10" s="358"/>
      <c r="I10" s="358"/>
      <c r="J10" s="358"/>
      <c r="N10" s="6"/>
      <c r="O10" s="6"/>
      <c r="P10" s="6"/>
    </row>
    <row r="11" spans="1:16" s="7" customFormat="1" ht="15.95" customHeight="1" x14ac:dyDescent="0.15">
      <c r="B11" s="8" t="s">
        <v>12</v>
      </c>
      <c r="C11" s="7" t="s">
        <v>414</v>
      </c>
      <c r="E11" s="478" t="s">
        <v>17</v>
      </c>
      <c r="F11" s="356">
        <f>풍하중!F11</f>
        <v>19</v>
      </c>
      <c r="G11" s="357" t="s">
        <v>18</v>
      </c>
      <c r="H11" s="358"/>
      <c r="I11" s="358"/>
      <c r="J11" s="358"/>
      <c r="N11" s="6"/>
      <c r="O11" s="6"/>
      <c r="P11" s="6"/>
    </row>
    <row r="12" spans="1:16" s="7" customFormat="1" ht="15.95" customHeight="1" x14ac:dyDescent="0.15">
      <c r="B12" s="8" t="s">
        <v>12</v>
      </c>
      <c r="C12" s="7" t="s">
        <v>19</v>
      </c>
      <c r="E12" s="478" t="s">
        <v>17</v>
      </c>
      <c r="F12" s="356">
        <f>풍하중!F12</f>
        <v>28</v>
      </c>
      <c r="G12" s="358" t="s">
        <v>20</v>
      </c>
      <c r="H12" s="358"/>
      <c r="I12" s="358"/>
      <c r="J12" s="358"/>
      <c r="N12" s="6"/>
      <c r="O12" s="6"/>
      <c r="P12" s="6"/>
    </row>
    <row r="13" spans="1:16" s="7" customFormat="1" ht="15.95" customHeight="1" x14ac:dyDescent="0.15">
      <c r="B13" s="8" t="s">
        <v>12</v>
      </c>
      <c r="C13" s="7" t="s">
        <v>21</v>
      </c>
      <c r="E13" s="478" t="s">
        <v>17</v>
      </c>
      <c r="F13" s="356" t="str">
        <f>풍하중!F13</f>
        <v>C</v>
      </c>
      <c r="G13" s="358"/>
      <c r="H13" s="358"/>
      <c r="I13" s="358"/>
      <c r="J13" s="358"/>
      <c r="N13" s="6"/>
      <c r="O13" s="6"/>
      <c r="P13" s="6"/>
    </row>
    <row r="14" spans="1:16" s="7" customFormat="1" ht="15.95" customHeight="1" x14ac:dyDescent="0.15">
      <c r="B14" s="8" t="s">
        <v>12</v>
      </c>
      <c r="C14" s="7" t="s">
        <v>1008</v>
      </c>
      <c r="E14" s="478" t="s">
        <v>17</v>
      </c>
      <c r="F14" s="512">
        <f>풍하중!F14</f>
        <v>1</v>
      </c>
      <c r="G14" s="358"/>
      <c r="H14" s="358"/>
      <c r="I14" s="358"/>
      <c r="J14" s="358"/>
      <c r="N14" s="6"/>
      <c r="O14" s="6"/>
      <c r="P14" s="6"/>
    </row>
    <row r="15" spans="1:16" s="7" customFormat="1" ht="15.95" customHeight="1" x14ac:dyDescent="0.15">
      <c r="B15" s="8" t="s">
        <v>12</v>
      </c>
      <c r="C15" s="7" t="s">
        <v>22</v>
      </c>
      <c r="E15" s="478" t="s">
        <v>17</v>
      </c>
      <c r="F15" s="512">
        <f>풍하중!F15</f>
        <v>1</v>
      </c>
      <c r="G15" s="358"/>
      <c r="H15" s="358"/>
      <c r="I15" s="358"/>
      <c r="J15" s="358"/>
      <c r="N15" s="6"/>
      <c r="O15" s="6"/>
      <c r="P15" s="6"/>
    </row>
    <row r="16" spans="1:16" s="7" customFormat="1" ht="15.95" customHeight="1" x14ac:dyDescent="0.15">
      <c r="B16" s="8" t="s">
        <v>12</v>
      </c>
      <c r="C16" s="7" t="s">
        <v>23</v>
      </c>
      <c r="E16" s="478" t="s">
        <v>17</v>
      </c>
      <c r="F16" s="512">
        <f>풍하중!F16</f>
        <v>1</v>
      </c>
      <c r="G16" s="358"/>
      <c r="H16" s="358"/>
      <c r="I16" s="358"/>
      <c r="J16" s="358"/>
      <c r="N16" s="6"/>
      <c r="O16" s="6"/>
      <c r="P16" s="6"/>
    </row>
    <row r="17" spans="2:21" s="7" customFormat="1" ht="15.95" customHeight="1" x14ac:dyDescent="0.15">
      <c r="B17" s="8" t="s">
        <v>12</v>
      </c>
      <c r="C17" s="7" t="s">
        <v>24</v>
      </c>
      <c r="E17" s="478" t="s">
        <v>17</v>
      </c>
      <c r="F17" s="356">
        <f>풍하중!F17</f>
        <v>1000</v>
      </c>
      <c r="G17" s="359" t="s">
        <v>25</v>
      </c>
      <c r="H17" s="356">
        <f>풍하중!H17</f>
        <v>3900</v>
      </c>
      <c r="I17" s="359" t="s">
        <v>26</v>
      </c>
      <c r="J17" s="358"/>
    </row>
    <row r="18" spans="2:21" s="7" customFormat="1" ht="15.95" customHeight="1" x14ac:dyDescent="0.15">
      <c r="B18" s="8"/>
      <c r="E18" s="478"/>
      <c r="F18" s="482"/>
      <c r="G18" s="359"/>
      <c r="H18" s="482"/>
      <c r="I18" s="359"/>
      <c r="J18" s="358"/>
    </row>
    <row r="19" spans="2:21" s="7" customFormat="1" ht="15.95" customHeight="1" x14ac:dyDescent="0.15">
      <c r="B19" s="12" t="s">
        <v>525</v>
      </c>
      <c r="C19" s="6"/>
      <c r="E19" s="478"/>
      <c r="F19" s="483"/>
      <c r="G19" s="9"/>
      <c r="H19" s="483"/>
      <c r="I19" s="9" t="s">
        <v>1</v>
      </c>
    </row>
    <row r="20" spans="2:21" s="7" customFormat="1" ht="15.95" customHeight="1" x14ac:dyDescent="0.15">
      <c r="B20" s="12"/>
      <c r="C20" s="6"/>
      <c r="E20" s="478"/>
      <c r="F20" s="483"/>
      <c r="G20" s="9"/>
      <c r="H20" s="483"/>
      <c r="I20" s="9"/>
    </row>
    <row r="21" spans="2:21" s="7" customFormat="1" ht="15.95" customHeight="1" x14ac:dyDescent="0.15">
      <c r="B21" s="12"/>
      <c r="C21" s="667" t="s">
        <v>526</v>
      </c>
      <c r="D21" s="669" t="s">
        <v>527</v>
      </c>
      <c r="E21" s="669" t="s">
        <v>435</v>
      </c>
      <c r="F21" s="671" t="s">
        <v>1009</v>
      </c>
      <c r="G21" s="671"/>
      <c r="H21" s="671" t="s">
        <v>1010</v>
      </c>
      <c r="I21" s="671" t="s">
        <v>528</v>
      </c>
      <c r="J21" s="673"/>
    </row>
    <row r="22" spans="2:21" s="7" customFormat="1" ht="15.95" customHeight="1" thickBot="1" x14ac:dyDescent="0.2">
      <c r="B22" s="12"/>
      <c r="C22" s="668"/>
      <c r="D22" s="670"/>
      <c r="E22" s="670"/>
      <c r="F22" s="484" t="s">
        <v>529</v>
      </c>
      <c r="G22" s="484" t="s">
        <v>530</v>
      </c>
      <c r="H22" s="672"/>
      <c r="I22" s="484" t="s">
        <v>529</v>
      </c>
      <c r="J22" s="485" t="s">
        <v>530</v>
      </c>
      <c r="Q22" s="659" t="s">
        <v>516</v>
      </c>
      <c r="R22" s="659"/>
      <c r="T22" s="659" t="s">
        <v>517</v>
      </c>
      <c r="U22" s="659"/>
    </row>
    <row r="23" spans="2:21" s="7" customFormat="1" ht="15.95" customHeight="1" thickTop="1" x14ac:dyDescent="0.15">
      <c r="B23" s="12"/>
      <c r="C23" s="660" t="s">
        <v>531</v>
      </c>
      <c r="D23" s="662">
        <f>E64</f>
        <v>0.93524844782262129</v>
      </c>
      <c r="E23" s="662">
        <f>E58</f>
        <v>585.55127834803193</v>
      </c>
      <c r="F23" s="662">
        <f>IF(F10&lt;20,X73,S73)</f>
        <v>1.7913541937196458</v>
      </c>
      <c r="G23" s="662">
        <f>IF(F10&lt;20,X80,S80)</f>
        <v>-1.9913541937196459</v>
      </c>
      <c r="H23" s="582">
        <v>-0.8</v>
      </c>
      <c r="I23" s="537">
        <f>ROUNDUP(Q23,-1)/10^3</f>
        <v>1.45</v>
      </c>
      <c r="J23" s="538">
        <f>ROUNDUP(R23,0)/10^3</f>
        <v>-0.69799999999999995</v>
      </c>
      <c r="Q23" s="539">
        <f>$E$23*($D$23*$F$23-H23)</f>
        <v>1449.4509321176556</v>
      </c>
      <c r="R23" s="486">
        <f>$E$23*($G$23-H23)</f>
        <v>-697.59897109782753</v>
      </c>
      <c r="T23" s="487">
        <f t="shared" ref="T23:U26" si="0">Q23/9.80665</f>
        <v>147.80286153963439</v>
      </c>
      <c r="U23" s="488">
        <f t="shared" si="0"/>
        <v>-71.135298098517595</v>
      </c>
    </row>
    <row r="24" spans="2:21" s="7" customFormat="1" ht="15.95" customHeight="1" x14ac:dyDescent="0.15">
      <c r="B24" s="12"/>
      <c r="C24" s="661"/>
      <c r="D24" s="663"/>
      <c r="E24" s="664"/>
      <c r="F24" s="664"/>
      <c r="G24" s="664"/>
      <c r="H24" s="583">
        <v>0</v>
      </c>
      <c r="I24" s="489">
        <f>ROUNDUP(Q24,-1)/10^3</f>
        <v>0.99</v>
      </c>
      <c r="J24" s="490">
        <f>ROUNDUP(R24,0)/10^3</f>
        <v>-1.167</v>
      </c>
      <c r="Q24" s="486">
        <f>$E$23*($D$23*$F$23-H24)</f>
        <v>981.00990943923</v>
      </c>
      <c r="R24" s="539">
        <f>$E$23*($G$23-H24)</f>
        <v>-1166.0399937762531</v>
      </c>
      <c r="T24" s="488">
        <f t="shared" si="0"/>
        <v>100.03517097471921</v>
      </c>
      <c r="U24" s="487">
        <f t="shared" si="0"/>
        <v>-118.90298866343279</v>
      </c>
    </row>
    <row r="25" spans="2:21" s="7" customFormat="1" ht="15.95" customHeight="1" x14ac:dyDescent="0.15">
      <c r="B25" s="12"/>
      <c r="C25" s="661" t="s">
        <v>532</v>
      </c>
      <c r="D25" s="663"/>
      <c r="E25" s="664"/>
      <c r="F25" s="664"/>
      <c r="G25" s="664">
        <f>IF(F10&lt;20,X87,S87)</f>
        <v>-2.3827083874392914</v>
      </c>
      <c r="H25" s="583">
        <v>-0.8</v>
      </c>
      <c r="I25" s="491">
        <f>ROUNDUP(Q25,-1)/10^3</f>
        <v>1.45</v>
      </c>
      <c r="J25" s="492">
        <f>ROUNDUP(R25,0)/10^3</f>
        <v>-0.92700000000000005</v>
      </c>
      <c r="Q25" s="539">
        <f>$E$23*($D$23*$F$23-H25)</f>
        <v>1449.4509321176556</v>
      </c>
      <c r="R25" s="486">
        <f>$E$23*($G$25-H25)</f>
        <v>-926.75691951722922</v>
      </c>
      <c r="T25" s="487">
        <f t="shared" si="0"/>
        <v>147.80286153963439</v>
      </c>
      <c r="U25" s="488">
        <f t="shared" si="0"/>
        <v>-94.502905632119962</v>
      </c>
    </row>
    <row r="26" spans="2:21" s="7" customFormat="1" ht="15.95" customHeight="1" x14ac:dyDescent="0.15">
      <c r="B26" s="12"/>
      <c r="C26" s="661"/>
      <c r="D26" s="663"/>
      <c r="E26" s="664"/>
      <c r="F26" s="664"/>
      <c r="G26" s="664"/>
      <c r="H26" s="583">
        <v>0</v>
      </c>
      <c r="I26" s="489">
        <f>ROUNDUP(Q26,-1)/10^3</f>
        <v>0.99</v>
      </c>
      <c r="J26" s="490">
        <f>ROUNDUP(R26,0)/10^3</f>
        <v>-1.3959999999999999</v>
      </c>
      <c r="Q26" s="486">
        <f>$E$23*($D$23*$F$23-H26)</f>
        <v>981.00990943923</v>
      </c>
      <c r="R26" s="539">
        <f>$E$23*($G$25-H26)</f>
        <v>-1395.1979421956548</v>
      </c>
      <c r="T26" s="488">
        <f t="shared" si="0"/>
        <v>100.03517097471921</v>
      </c>
      <c r="U26" s="487">
        <f t="shared" si="0"/>
        <v>-142.27059619703516</v>
      </c>
    </row>
    <row r="27" spans="2:21" s="7" customFormat="1" ht="15.95" customHeight="1" x14ac:dyDescent="0.15">
      <c r="B27" s="12"/>
      <c r="C27" s="6"/>
      <c r="E27" s="478"/>
      <c r="F27" s="483"/>
      <c r="G27" s="9"/>
      <c r="H27" s="483"/>
      <c r="I27" s="9"/>
    </row>
    <row r="28" spans="2:21" s="7" customFormat="1" ht="15.95" customHeight="1" x14ac:dyDescent="0.15">
      <c r="B28" s="8"/>
      <c r="C28" s="493" t="s">
        <v>533</v>
      </c>
      <c r="D28" s="494" t="s">
        <v>49</v>
      </c>
      <c r="E28" s="493" t="s">
        <v>1011</v>
      </c>
      <c r="F28" s="495"/>
      <c r="J28" s="438"/>
    </row>
    <row r="29" spans="2:21" s="7" customFormat="1" ht="15.95" customHeight="1" x14ac:dyDescent="0.15">
      <c r="B29" s="8"/>
      <c r="C29" s="493" t="s">
        <v>534</v>
      </c>
      <c r="D29" s="494" t="s">
        <v>49</v>
      </c>
      <c r="E29" s="493" t="s">
        <v>1012</v>
      </c>
      <c r="F29" s="495"/>
    </row>
    <row r="30" spans="2:21" s="7" customFormat="1" ht="15.95" customHeight="1" x14ac:dyDescent="0.15"/>
    <row r="31" spans="2:21" s="7" customFormat="1" ht="15.95" customHeight="1" x14ac:dyDescent="0.15">
      <c r="B31" s="8"/>
      <c r="E31" s="478"/>
      <c r="F31" s="483"/>
      <c r="G31" s="9"/>
      <c r="H31" s="483"/>
      <c r="I31" s="9"/>
    </row>
    <row r="32" spans="2:21" s="7" customFormat="1" ht="15.95" customHeight="1" x14ac:dyDescent="0.15">
      <c r="B32" s="12" t="s">
        <v>535</v>
      </c>
      <c r="C32" s="6"/>
      <c r="E32" s="479"/>
    </row>
    <row r="33" spans="1:32" s="7" customFormat="1" ht="15.95" customHeight="1" x14ac:dyDescent="0.15">
      <c r="E33" s="479"/>
    </row>
    <row r="34" spans="1:32" s="7" customFormat="1" ht="15.95" customHeight="1" x14ac:dyDescent="0.15">
      <c r="E34" s="479"/>
    </row>
    <row r="35" spans="1:32" s="7" customFormat="1" ht="15.95" customHeight="1" x14ac:dyDescent="0.15">
      <c r="E35" s="479"/>
    </row>
    <row r="36" spans="1:32" s="7" customFormat="1" ht="15.95" customHeight="1" x14ac:dyDescent="0.15">
      <c r="E36" s="479"/>
    </row>
    <row r="37" spans="1:32" s="7" customFormat="1" ht="15.95" customHeight="1" x14ac:dyDescent="0.15">
      <c r="E37" s="479"/>
      <c r="N37" s="6"/>
      <c r="O37" s="6"/>
      <c r="P37" s="6"/>
    </row>
    <row r="38" spans="1:32" s="7" customFormat="1" ht="15.95" customHeight="1" x14ac:dyDescent="0.15">
      <c r="E38" s="479"/>
    </row>
    <row r="39" spans="1:32" s="7" customFormat="1" ht="15.95" customHeight="1" x14ac:dyDescent="0.15">
      <c r="E39" s="479"/>
    </row>
    <row r="40" spans="1:32" s="7" customFormat="1" ht="15.95" customHeight="1" x14ac:dyDescent="0.15">
      <c r="E40" s="479"/>
    </row>
    <row r="41" spans="1:32" s="7" customFormat="1" ht="15.95" customHeight="1" x14ac:dyDescent="0.15">
      <c r="E41" s="479"/>
    </row>
    <row r="42" spans="1:32" s="7" customFormat="1" ht="15.95" customHeight="1" x14ac:dyDescent="0.15">
      <c r="E42" s="479"/>
    </row>
    <row r="43" spans="1:32" s="7" customFormat="1" ht="15.95" customHeight="1" x14ac:dyDescent="0.15">
      <c r="E43" s="479"/>
    </row>
    <row r="44" spans="1:32" s="7" customFormat="1" ht="15.95" customHeight="1" x14ac:dyDescent="0.15"/>
    <row r="45" spans="1:32" s="6" customFormat="1" ht="15.95" customHeight="1" x14ac:dyDescent="0.15">
      <c r="C45" s="499" t="s">
        <v>1013</v>
      </c>
      <c r="D45" s="7"/>
      <c r="E45" s="479"/>
      <c r="F45" s="7"/>
      <c r="H45" s="658" t="s">
        <v>1014</v>
      </c>
      <c r="I45" s="658"/>
      <c r="J45" s="658"/>
      <c r="K45" s="658"/>
      <c r="L45" s="658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</row>
    <row r="46" spans="1:32" s="6" customFormat="1" ht="15.95" customHeight="1" x14ac:dyDescent="0.15">
      <c r="B46" s="477" t="s">
        <v>33</v>
      </c>
      <c r="C46" s="476" t="s">
        <v>536</v>
      </c>
      <c r="D46" s="476"/>
      <c r="E46" s="476"/>
      <c r="F46" s="476"/>
      <c r="G46" s="476"/>
      <c r="H46" s="476"/>
      <c r="I46" s="476"/>
      <c r="J46" s="476"/>
      <c r="K46" s="476"/>
      <c r="L46" s="476"/>
      <c r="U46" s="500" t="s">
        <v>415</v>
      </c>
      <c r="V46" s="501" t="s">
        <v>416</v>
      </c>
    </row>
    <row r="47" spans="1:32" s="6" customFormat="1" ht="15.95" customHeight="1" x14ac:dyDescent="0.15">
      <c r="A47" s="476"/>
      <c r="R47" s="15" t="s">
        <v>417</v>
      </c>
      <c r="S47" s="13" t="s">
        <v>418</v>
      </c>
      <c r="T47" s="500" t="s">
        <v>8</v>
      </c>
      <c r="U47" s="500" t="s">
        <v>44</v>
      </c>
      <c r="V47" s="502" t="s">
        <v>44</v>
      </c>
      <c r="W47" s="502" t="s">
        <v>419</v>
      </c>
      <c r="X47" s="500" t="s">
        <v>420</v>
      </c>
      <c r="Y47" s="7"/>
    </row>
    <row r="48" spans="1:32" s="6" customFormat="1" ht="15.95" customHeight="1" x14ac:dyDescent="0.25">
      <c r="B48" s="8"/>
      <c r="C48" s="507" t="s">
        <v>34</v>
      </c>
      <c r="D48" s="478" t="s">
        <v>4</v>
      </c>
      <c r="E48" s="508">
        <f>VLOOKUP(F13,R48:S51,2)</f>
        <v>0.71</v>
      </c>
      <c r="F48" s="509" t="s">
        <v>421</v>
      </c>
      <c r="G48" s="510" t="s">
        <v>35</v>
      </c>
      <c r="H48" s="13" t="s">
        <v>4</v>
      </c>
      <c r="I48" s="511">
        <f>VLOOKUP($F$13,$R$48:$X$51,6)</f>
        <v>10</v>
      </c>
      <c r="J48" s="6" t="s">
        <v>422</v>
      </c>
      <c r="R48" s="146" t="s">
        <v>45</v>
      </c>
      <c r="S48" s="503">
        <v>0.22</v>
      </c>
      <c r="T48" s="13">
        <v>0.33</v>
      </c>
      <c r="U48" s="504">
        <v>0.57999999999999996</v>
      </c>
      <c r="V48" s="505">
        <f>S48*$I$50^T48</f>
        <v>0.58131478541982162</v>
      </c>
      <c r="W48" s="15">
        <v>20</v>
      </c>
      <c r="X48" s="506">
        <v>550</v>
      </c>
      <c r="Y48" s="541">
        <f>(ABS(R24)/(F23-H23))</f>
        <v>449.97322118382908</v>
      </c>
    </row>
    <row r="49" spans="1:32" s="6" customFormat="1" ht="15.95" customHeight="1" x14ac:dyDescent="0.15">
      <c r="D49" s="478" t="s">
        <v>4</v>
      </c>
      <c r="E49" s="512">
        <f>IF(I48&gt;I50,Q50,Q51)</f>
        <v>1.104260122080795</v>
      </c>
      <c r="G49" s="510" t="s">
        <v>37</v>
      </c>
      <c r="H49" s="13" t="s">
        <v>4</v>
      </c>
      <c r="I49" s="511">
        <f>VLOOKUP($F$13,$R$48:$X$51,7)</f>
        <v>350</v>
      </c>
      <c r="J49" s="373" t="s">
        <v>423</v>
      </c>
      <c r="R49" s="146" t="s">
        <v>46</v>
      </c>
      <c r="S49" s="503">
        <v>0.45</v>
      </c>
      <c r="T49" s="13">
        <v>0.22</v>
      </c>
      <c r="U49" s="504">
        <v>0.81</v>
      </c>
      <c r="V49" s="505">
        <f>S49*$I$50^T49</f>
        <v>0.86007892490412052</v>
      </c>
      <c r="W49" s="15">
        <v>15</v>
      </c>
      <c r="X49" s="506">
        <v>450</v>
      </c>
      <c r="Y49" s="541">
        <f>SQRT((Y48*2)/(E59))</f>
        <v>27.10443057942415</v>
      </c>
    </row>
    <row r="50" spans="1:32" s="6" customFormat="1" ht="15.95" customHeight="1" x14ac:dyDescent="0.15">
      <c r="C50" s="515"/>
      <c r="G50" s="510" t="s">
        <v>38</v>
      </c>
      <c r="H50" s="13" t="s">
        <v>4</v>
      </c>
      <c r="I50" s="511">
        <f>F10</f>
        <v>19</v>
      </c>
      <c r="J50" s="373" t="s">
        <v>424</v>
      </c>
      <c r="Q50" s="513">
        <f>VLOOKUP(F13,R48:X51,4)</f>
        <v>1</v>
      </c>
      <c r="R50" s="146" t="s">
        <v>47</v>
      </c>
      <c r="S50" s="503">
        <v>0.71</v>
      </c>
      <c r="T50" s="13">
        <v>0.15</v>
      </c>
      <c r="U50" s="514">
        <v>1</v>
      </c>
      <c r="V50" s="505">
        <f>S50*$I$50^T50</f>
        <v>1.104260122080795</v>
      </c>
      <c r="W50" s="15">
        <v>10</v>
      </c>
      <c r="X50" s="506">
        <v>350</v>
      </c>
      <c r="Y50" s="541">
        <f>Y49/F12/F15/F16</f>
        <v>0.96801537783657676</v>
      </c>
    </row>
    <row r="51" spans="1:32" s="6" customFormat="1" ht="15.95" customHeight="1" x14ac:dyDescent="0.15">
      <c r="B51" s="8"/>
      <c r="C51" s="518" t="s">
        <v>425</v>
      </c>
      <c r="D51" s="478" t="s">
        <v>4</v>
      </c>
      <c r="E51" s="584" t="s">
        <v>1015</v>
      </c>
      <c r="G51" s="510" t="s">
        <v>8</v>
      </c>
      <c r="H51" s="13" t="s">
        <v>4</v>
      </c>
      <c r="I51" s="519">
        <f>VLOOKUP($F$13,$R$48:$X$51,3)</f>
        <v>0.15</v>
      </c>
      <c r="J51" s="6" t="s">
        <v>426</v>
      </c>
      <c r="Q51" s="513">
        <f>VLOOKUP(F13,R48:X51,5)</f>
        <v>1.104260122080795</v>
      </c>
      <c r="R51" s="146" t="s">
        <v>48</v>
      </c>
      <c r="S51" s="516">
        <v>0.98</v>
      </c>
      <c r="T51" s="517">
        <v>0.1</v>
      </c>
      <c r="U51" s="504">
        <v>1.1299999999999999</v>
      </c>
      <c r="V51" s="147">
        <f>S51*$I$50^T51</f>
        <v>1.3155320579428627</v>
      </c>
      <c r="W51" s="15">
        <v>5</v>
      </c>
      <c r="X51" s="13">
        <v>250</v>
      </c>
      <c r="Y51" s="541">
        <f>Y50/(VLOOKUP(F13,R48:S51,2))</f>
        <v>1.3634019406148969</v>
      </c>
    </row>
    <row r="52" spans="1:32" s="6" customFormat="1" ht="15.95" customHeight="1" x14ac:dyDescent="0.15">
      <c r="C52" s="515"/>
      <c r="D52" s="478" t="s">
        <v>4</v>
      </c>
      <c r="E52" s="512">
        <f>F12*F14*F15*F16*E49</f>
        <v>30.91928341826226</v>
      </c>
      <c r="F52" s="6" t="s">
        <v>20</v>
      </c>
      <c r="R52" s="14"/>
      <c r="S52" s="14"/>
      <c r="T52" s="14"/>
      <c r="U52" s="14"/>
      <c r="V52" s="14"/>
      <c r="W52" s="14"/>
      <c r="Y52" s="542">
        <f>Y51^(1/(VLOOKUP(F13,R48:T51,3)))</f>
        <v>7.8975560859131777</v>
      </c>
      <c r="Z52" s="540" t="s">
        <v>427</v>
      </c>
    </row>
    <row r="53" spans="1:32" s="6" customFormat="1" ht="15.95" customHeight="1" x14ac:dyDescent="0.15">
      <c r="C53" s="515"/>
      <c r="Q53" s="481">
        <v>1</v>
      </c>
      <c r="R53" s="147">
        <f>(I48/F10)^(2*I51)</f>
        <v>0.82484798861272635</v>
      </c>
      <c r="S53" s="543" t="s">
        <v>428</v>
      </c>
      <c r="U53" s="520" t="s">
        <v>429</v>
      </c>
    </row>
    <row r="54" spans="1:32" s="6" customFormat="1" ht="15.95" customHeight="1" x14ac:dyDescent="0.15">
      <c r="C54" s="515"/>
      <c r="G54" s="7"/>
      <c r="H54" s="7"/>
      <c r="I54" s="7"/>
      <c r="J54" s="544"/>
      <c r="K54" s="7"/>
      <c r="Q54" s="481">
        <v>2</v>
      </c>
      <c r="R54" s="147">
        <f>(F11/F10)^(2*I51)</f>
        <v>1</v>
      </c>
      <c r="S54" s="543" t="s">
        <v>430</v>
      </c>
      <c r="U54" s="520" t="s">
        <v>431</v>
      </c>
    </row>
    <row r="55" spans="1:32" s="6" customFormat="1" ht="15.95" customHeight="1" x14ac:dyDescent="0.15">
      <c r="B55" s="477" t="s">
        <v>39</v>
      </c>
      <c r="C55" s="476" t="s">
        <v>537</v>
      </c>
      <c r="G55" s="496" t="s">
        <v>31</v>
      </c>
      <c r="H55" s="7"/>
      <c r="I55" s="7"/>
      <c r="J55" s="7"/>
      <c r="K55" s="7"/>
      <c r="Q55" s="481">
        <v>3</v>
      </c>
      <c r="R55" s="147">
        <f>0.8^(2*I51)</f>
        <v>0.93524844782262129</v>
      </c>
      <c r="S55" s="543" t="s">
        <v>432</v>
      </c>
      <c r="U55" s="521" t="s">
        <v>433</v>
      </c>
    </row>
    <row r="56" spans="1:32" s="6" customFormat="1" ht="15.95" customHeight="1" x14ac:dyDescent="0.15">
      <c r="G56" s="497" t="s">
        <v>32</v>
      </c>
      <c r="H56" s="7"/>
      <c r="I56" s="7"/>
      <c r="J56" s="7"/>
      <c r="K56" s="7"/>
      <c r="M56" s="522"/>
      <c r="Q56" s="148">
        <f>IF(F11&lt;=I48,1,IF(AND(F11&gt;I48,F11&lt;0.8*I50),2,3))</f>
        <v>3</v>
      </c>
      <c r="R56" s="545">
        <f>VLOOKUP(Q56, Q53:R55, 2, FALSE)</f>
        <v>0.93524844782262129</v>
      </c>
      <c r="S56" s="546" t="s">
        <v>434</v>
      </c>
    </row>
    <row r="57" spans="1:32" s="6" customFormat="1" ht="15.95" customHeight="1" x14ac:dyDescent="0.15">
      <c r="B57" s="8"/>
      <c r="C57" s="523" t="s">
        <v>435</v>
      </c>
      <c r="D57" s="478" t="s">
        <v>4</v>
      </c>
      <c r="E57" s="493" t="s">
        <v>436</v>
      </c>
      <c r="G57" s="7"/>
      <c r="H57" s="7"/>
      <c r="I57" s="7"/>
      <c r="J57" s="7"/>
      <c r="K57" s="7"/>
    </row>
    <row r="58" spans="1:32" s="6" customFormat="1" ht="15.95" customHeight="1" x14ac:dyDescent="0.15">
      <c r="C58" s="524"/>
      <c r="D58" s="478" t="s">
        <v>4</v>
      </c>
      <c r="E58" s="525">
        <f>0.5*(E59)*E52^2</f>
        <v>585.55127834803193</v>
      </c>
      <c r="F58" s="6" t="s">
        <v>538</v>
      </c>
      <c r="G58" s="7"/>
      <c r="H58" s="7"/>
      <c r="I58" s="7"/>
      <c r="J58" s="547">
        <f>I23</f>
        <v>1.45</v>
      </c>
      <c r="K58" s="544" t="s">
        <v>521</v>
      </c>
      <c r="M58" s="476"/>
      <c r="S58"/>
    </row>
    <row r="59" spans="1:32" s="476" customFormat="1" ht="15.95" customHeight="1" x14ac:dyDescent="0.15">
      <c r="A59" s="6"/>
      <c r="B59" s="8"/>
      <c r="C59" s="493" t="s">
        <v>40</v>
      </c>
      <c r="D59" s="13" t="s">
        <v>4</v>
      </c>
      <c r="E59" s="585">
        <v>1.2250000000000001</v>
      </c>
      <c r="F59" s="6" t="s">
        <v>41</v>
      </c>
      <c r="G59" s="7"/>
      <c r="H59" s="7"/>
      <c r="I59" s="7"/>
      <c r="J59" s="548">
        <f>J24</f>
        <v>-1.167</v>
      </c>
      <c r="K59" s="544" t="s">
        <v>521</v>
      </c>
      <c r="L59" s="6"/>
      <c r="M59" s="6"/>
      <c r="AA59" s="6"/>
      <c r="AB59" s="6"/>
      <c r="AC59" s="6"/>
      <c r="AD59" s="6"/>
      <c r="AE59" s="6"/>
      <c r="AF59" s="6"/>
    </row>
    <row r="60" spans="1:32" s="6" customFormat="1" ht="15.95" customHeight="1" x14ac:dyDescent="0.15">
      <c r="G60" s="7"/>
      <c r="H60" s="7"/>
      <c r="I60" s="7"/>
      <c r="J60" s="7"/>
      <c r="K60" s="7"/>
      <c r="AA60" s="476"/>
      <c r="AB60" s="476"/>
      <c r="AC60" s="476"/>
      <c r="AD60" s="476"/>
      <c r="AE60" s="476"/>
      <c r="AF60" s="476"/>
    </row>
    <row r="61" spans="1:32" s="6" customFormat="1" ht="15.95" customHeight="1" x14ac:dyDescent="0.15">
      <c r="G61" s="7"/>
      <c r="H61" s="7"/>
      <c r="I61" s="7"/>
      <c r="J61" s="7"/>
      <c r="K61" s="7"/>
    </row>
    <row r="62" spans="1:32" s="6" customFormat="1" ht="15.95" customHeight="1" x14ac:dyDescent="0.15">
      <c r="B62" s="477" t="s">
        <v>42</v>
      </c>
      <c r="C62" s="526" t="s">
        <v>539</v>
      </c>
      <c r="G62" s="498">
        <f>Y52</f>
        <v>7.8975560859131777</v>
      </c>
      <c r="H62" s="7"/>
      <c r="I62" s="7"/>
      <c r="J62" s="7"/>
      <c r="K62" s="7"/>
      <c r="M62" s="476"/>
      <c r="Q62" s="6" t="s">
        <v>50</v>
      </c>
    </row>
    <row r="63" spans="1:32" s="6" customFormat="1" ht="15.95" customHeight="1" x14ac:dyDescent="0.15">
      <c r="G63" s="7"/>
      <c r="H63" s="7"/>
      <c r="I63" s="7"/>
      <c r="J63" s="7"/>
      <c r="K63" s="7"/>
      <c r="Q63" s="6" t="s">
        <v>437</v>
      </c>
    </row>
    <row r="64" spans="1:32" s="6" customFormat="1" ht="15.95" customHeight="1" x14ac:dyDescent="0.15">
      <c r="A64" s="526"/>
      <c r="B64" s="8"/>
      <c r="C64" s="493" t="s">
        <v>438</v>
      </c>
      <c r="D64" s="478" t="s">
        <v>4</v>
      </c>
      <c r="E64" s="527">
        <f>R56</f>
        <v>0.93524844782262129</v>
      </c>
      <c r="F64" s="526"/>
      <c r="G64" s="7"/>
      <c r="H64" s="7"/>
      <c r="I64" s="7"/>
      <c r="J64" s="7"/>
      <c r="K64" s="7"/>
    </row>
    <row r="65" spans="1:32" s="6" customFormat="1" ht="15.95" customHeight="1" x14ac:dyDescent="0.15">
      <c r="C65" s="524"/>
      <c r="G65" s="7"/>
      <c r="H65" s="7"/>
      <c r="I65" s="7"/>
      <c r="J65" s="7"/>
      <c r="K65" s="7"/>
    </row>
    <row r="66" spans="1:32" s="6" customFormat="1" ht="15.95" customHeight="1" x14ac:dyDescent="0.15">
      <c r="A66" s="8"/>
      <c r="B66" s="8"/>
      <c r="G66" s="7"/>
      <c r="H66" s="7"/>
      <c r="I66" s="7"/>
      <c r="J66" s="7" t="s">
        <v>540</v>
      </c>
      <c r="K66" s="7"/>
      <c r="Q66" s="14" t="s">
        <v>439</v>
      </c>
      <c r="R66" s="14"/>
      <c r="S66" s="14"/>
      <c r="T66" s="14"/>
    </row>
    <row r="67" spans="1:32" s="6" customFormat="1" ht="15.95" customHeight="1" x14ac:dyDescent="0.15">
      <c r="B67" s="477"/>
      <c r="C67" s="526"/>
      <c r="Q67" s="14"/>
      <c r="R67" s="14"/>
      <c r="S67" s="14"/>
      <c r="T67" s="14"/>
    </row>
    <row r="68" spans="1:32" s="6" customFormat="1" ht="15.95" customHeight="1" x14ac:dyDescent="0.15">
      <c r="Q68" s="14" t="s">
        <v>440</v>
      </c>
      <c r="R68" s="14"/>
      <c r="S68" s="14"/>
      <c r="T68" s="14"/>
      <c r="V68" s="14" t="s">
        <v>441</v>
      </c>
      <c r="W68" s="14"/>
      <c r="X68" s="14"/>
      <c r="Y68" s="14"/>
    </row>
    <row r="69" spans="1:32" s="6" customFormat="1" ht="15.95" customHeight="1" x14ac:dyDescent="0.15">
      <c r="Q69" s="14" t="s">
        <v>52</v>
      </c>
      <c r="R69" s="515" t="s">
        <v>442</v>
      </c>
      <c r="S69" s="528">
        <f>F17*H17/10^6</f>
        <v>3.9</v>
      </c>
      <c r="T69" s="529" t="s">
        <v>443</v>
      </c>
      <c r="V69" s="14" t="s">
        <v>52</v>
      </c>
      <c r="W69" s="515" t="s">
        <v>442</v>
      </c>
      <c r="X69" s="528">
        <f>S69</f>
        <v>3.9</v>
      </c>
      <c r="Y69" s="529" t="s">
        <v>443</v>
      </c>
    </row>
    <row r="70" spans="1:32" s="6" customFormat="1" ht="15.95" customHeight="1" x14ac:dyDescent="0.15">
      <c r="Q70" s="14" t="s">
        <v>53</v>
      </c>
      <c r="R70" s="530" t="s">
        <v>444</v>
      </c>
      <c r="S70" s="519">
        <v>1.8</v>
      </c>
      <c r="T70" s="531" t="str">
        <f>IF(S69&lt;=2,"  ← Governs","")</f>
        <v/>
      </c>
      <c r="V70" s="14" t="s">
        <v>53</v>
      </c>
      <c r="W70" s="14" t="s">
        <v>445</v>
      </c>
      <c r="X70" s="519">
        <v>2</v>
      </c>
      <c r="Y70" s="531" t="str">
        <f>IF(X69&lt;=1,"  ← Governs","")</f>
        <v/>
      </c>
    </row>
    <row r="71" spans="1:32" s="6" customFormat="1" ht="15.95" customHeight="1" x14ac:dyDescent="0.15">
      <c r="Q71" s="14"/>
      <c r="R71" s="530" t="s">
        <v>446</v>
      </c>
      <c r="S71" s="519">
        <f>1.93-0.43*LOG(S69)</f>
        <v>1.6758422189786053</v>
      </c>
      <c r="T71" s="531" t="str">
        <f>IF((2&lt;+S69)*AND(S69&lt;=50),"  ← Governs","")</f>
        <v xml:space="preserve">  ← Governs</v>
      </c>
      <c r="V71" s="14"/>
      <c r="W71" s="14" t="s">
        <v>55</v>
      </c>
      <c r="X71" s="519">
        <f>2-0.353*LOG(X69)</f>
        <v>1.7913541937196458</v>
      </c>
      <c r="Y71" s="531" t="str">
        <f>IF((1&lt;+X69)*AND(X69&lt;=50),"  ← Governs","")</f>
        <v xml:space="preserve">  ← Governs</v>
      </c>
    </row>
    <row r="72" spans="1:32" s="6" customFormat="1" ht="15.95" customHeight="1" x14ac:dyDescent="0.15">
      <c r="Q72" s="14"/>
      <c r="R72" s="14" t="s">
        <v>447</v>
      </c>
      <c r="S72" s="519">
        <v>1.2</v>
      </c>
      <c r="T72" s="531" t="str">
        <f>IF(S69&gt;50,"  ← Governs","")</f>
        <v/>
      </c>
      <c r="V72" s="14"/>
      <c r="W72" s="14" t="s">
        <v>447</v>
      </c>
      <c r="X72" s="519">
        <v>1.4</v>
      </c>
      <c r="Y72" s="531" t="str">
        <f>IF(X69&gt;50,"  ← Governs","")</f>
        <v/>
      </c>
    </row>
    <row r="73" spans="1:32" s="6" customFormat="1" ht="15.95" customHeight="1" x14ac:dyDescent="0.15">
      <c r="Q73" s="14"/>
      <c r="R73" s="510" t="s">
        <v>448</v>
      </c>
      <c r="S73" s="532">
        <f>IF(S69&lt;=2,S70,IF(S69&gt;50,S72,S71))</f>
        <v>1.6758422189786053</v>
      </c>
      <c r="T73" s="14"/>
      <c r="V73" s="14"/>
      <c r="W73" s="510" t="s">
        <v>448</v>
      </c>
      <c r="X73" s="532">
        <f>IF(X69&lt;=1,X70,IF(X69&gt;50,X72,X71))</f>
        <v>1.7913541937196458</v>
      </c>
      <c r="Y73" s="14"/>
    </row>
    <row r="74" spans="1:32" s="526" customFormat="1" ht="15.95" customHeight="1" x14ac:dyDescent="0.15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U74" s="6"/>
      <c r="Y74" s="6"/>
      <c r="Z74" s="6"/>
      <c r="AA74" s="6"/>
      <c r="AB74" s="6"/>
      <c r="AC74" s="6"/>
      <c r="AD74" s="6"/>
      <c r="AE74" s="6"/>
      <c r="AF74" s="6"/>
    </row>
    <row r="75" spans="1:32" s="6" customFormat="1" ht="15.95" customHeight="1" x14ac:dyDescent="0.15">
      <c r="Q75" s="14" t="s">
        <v>449</v>
      </c>
      <c r="R75" s="14"/>
      <c r="S75" s="14"/>
      <c r="T75" s="14"/>
      <c r="V75" s="14" t="s">
        <v>450</v>
      </c>
      <c r="W75" s="14"/>
      <c r="X75" s="14"/>
      <c r="Y75" s="14"/>
      <c r="AA75" s="526"/>
      <c r="AB75" s="526"/>
      <c r="AC75" s="526"/>
      <c r="AD75" s="526"/>
      <c r="AE75" s="526"/>
      <c r="AF75" s="526"/>
    </row>
    <row r="76" spans="1:32" s="6" customFormat="1" ht="15.95" customHeight="1" x14ac:dyDescent="0.15">
      <c r="Q76" s="14" t="s">
        <v>52</v>
      </c>
      <c r="R76" s="515" t="s">
        <v>442</v>
      </c>
      <c r="S76" s="528">
        <f>S69</f>
        <v>3.9</v>
      </c>
      <c r="T76" s="529" t="s">
        <v>443</v>
      </c>
      <c r="V76" s="14" t="s">
        <v>52</v>
      </c>
      <c r="W76" s="515" t="s">
        <v>442</v>
      </c>
      <c r="X76" s="528">
        <f>S69</f>
        <v>3.9</v>
      </c>
      <c r="Y76" s="529" t="s">
        <v>443</v>
      </c>
    </row>
    <row r="77" spans="1:32" s="6" customFormat="1" ht="15.95" customHeight="1" x14ac:dyDescent="0.15">
      <c r="Q77" s="14" t="s">
        <v>53</v>
      </c>
      <c r="R77" s="530" t="s">
        <v>444</v>
      </c>
      <c r="S77" s="519">
        <v>-1.8</v>
      </c>
      <c r="T77" s="531" t="str">
        <f>IF(S76&lt;=2,"  ← Governs","")</f>
        <v/>
      </c>
      <c r="V77" s="14" t="s">
        <v>53</v>
      </c>
      <c r="W77" s="14" t="s">
        <v>54</v>
      </c>
      <c r="X77" s="533">
        <v>-2.2000000000000002</v>
      </c>
      <c r="Y77" s="531" t="str">
        <f>IF(X76&lt;=1," ← Governs","")</f>
        <v/>
      </c>
    </row>
    <row r="78" spans="1:32" s="6" customFormat="1" ht="15.95" customHeight="1" x14ac:dyDescent="0.15">
      <c r="Q78" s="14"/>
      <c r="R78" s="530" t="s">
        <v>446</v>
      </c>
      <c r="S78" s="519">
        <f>-1.89+0.29*LOG(S76)</f>
        <v>-1.7185912639623151</v>
      </c>
      <c r="T78" s="531" t="str">
        <f>IF((2&lt;+S76)*AND(S76&lt;=50),"  ← Governs","")</f>
        <v xml:space="preserve">  ← Governs</v>
      </c>
      <c r="V78" s="14"/>
      <c r="W78" s="14" t="s">
        <v>55</v>
      </c>
      <c r="X78" s="533">
        <f>-2.2+0.353*LOG(X76)</f>
        <v>-1.9913541937196459</v>
      </c>
      <c r="Y78" s="534" t="str">
        <f>IF((1&lt;+X76)*AND(X76&lt;=50),"&lt;--GOVERNS","")</f>
        <v>&lt;--GOVERNS</v>
      </c>
    </row>
    <row r="79" spans="1:32" s="6" customFormat="1" ht="15.95" customHeight="1" x14ac:dyDescent="0.15">
      <c r="Q79" s="14"/>
      <c r="R79" s="14" t="s">
        <v>447</v>
      </c>
      <c r="S79" s="519">
        <v>-1.4</v>
      </c>
      <c r="T79" s="531" t="str">
        <f>IF(S76&gt;50,"  ← Governs","")</f>
        <v/>
      </c>
      <c r="V79" s="14"/>
      <c r="W79" s="14" t="s">
        <v>56</v>
      </c>
      <c r="X79" s="533">
        <v>-1.6</v>
      </c>
      <c r="Y79" s="534" t="str">
        <f>IF(X76&gt;50,"&lt;--GOVERNS","")</f>
        <v/>
      </c>
    </row>
    <row r="80" spans="1:32" s="6" customFormat="1" ht="15.95" customHeight="1" x14ac:dyDescent="0.15">
      <c r="Q80" s="14"/>
      <c r="R80" s="510" t="s">
        <v>448</v>
      </c>
      <c r="S80" s="532">
        <f>IF(S76&lt;=2,S77,IF(S76&gt;50,S79,S78))</f>
        <v>-1.7185912639623151</v>
      </c>
      <c r="T80" s="14"/>
      <c r="V80" s="14"/>
      <c r="W80" s="510" t="s">
        <v>448</v>
      </c>
      <c r="X80" s="532">
        <f>IF(X76&lt;=1,X77,IF(X76&gt;50,X79,X78))</f>
        <v>-1.9913541937196459</v>
      </c>
      <c r="Y80" s="14"/>
    </row>
    <row r="81" spans="1:25" s="6" customFormat="1" ht="15.95" customHeight="1" x14ac:dyDescent="0.15"/>
    <row r="82" spans="1:25" s="6" customFormat="1" ht="15.95" customHeight="1" x14ac:dyDescent="0.15">
      <c r="D82" s="526"/>
      <c r="E82" s="526"/>
      <c r="Q82" s="14" t="s">
        <v>451</v>
      </c>
      <c r="R82" s="14"/>
      <c r="S82" s="14"/>
      <c r="T82" s="14"/>
      <c r="V82" s="14" t="s">
        <v>452</v>
      </c>
      <c r="W82" s="14"/>
      <c r="X82" s="14"/>
      <c r="Y82" s="14"/>
    </row>
    <row r="83" spans="1:25" s="6" customFormat="1" ht="15.95" customHeight="1" x14ac:dyDescent="0.15">
      <c r="A83" s="526"/>
      <c r="Q83" s="14" t="s">
        <v>52</v>
      </c>
      <c r="R83" s="515" t="s">
        <v>442</v>
      </c>
      <c r="S83" s="528">
        <f>S69</f>
        <v>3.9</v>
      </c>
      <c r="T83" s="529" t="s">
        <v>443</v>
      </c>
      <c r="V83" s="14" t="s">
        <v>52</v>
      </c>
      <c r="W83" s="515" t="s">
        <v>442</v>
      </c>
      <c r="X83" s="528">
        <f>S69</f>
        <v>3.9</v>
      </c>
      <c r="Y83" s="529" t="s">
        <v>443</v>
      </c>
    </row>
    <row r="84" spans="1:25" s="6" customFormat="1" ht="15.95" customHeight="1" x14ac:dyDescent="0.15">
      <c r="Q84" s="14" t="s">
        <v>53</v>
      </c>
      <c r="R84" s="530" t="s">
        <v>444</v>
      </c>
      <c r="S84" s="519">
        <v>-3.6</v>
      </c>
      <c r="T84" s="531" t="str">
        <f>IF(S83&lt;=2,"  ← Governs","")</f>
        <v/>
      </c>
      <c r="V84" s="14" t="s">
        <v>53</v>
      </c>
      <c r="W84" s="14" t="s">
        <v>54</v>
      </c>
      <c r="X84" s="533">
        <v>-2.8</v>
      </c>
      <c r="Y84" s="531" t="str">
        <f>IF(X83&lt;=1," ← Governs","")</f>
        <v/>
      </c>
    </row>
    <row r="85" spans="1:25" s="6" customFormat="1" ht="15.95" customHeight="1" x14ac:dyDescent="0.15">
      <c r="Q85" s="14"/>
      <c r="R85" s="530" t="s">
        <v>446</v>
      </c>
      <c r="S85" s="519">
        <f>-3.94+1.14*LOG(S83)</f>
        <v>-3.266186347989791</v>
      </c>
      <c r="T85" s="531" t="str">
        <f>IF((2&lt;+S83)*AND(S83&lt;=50),"  ← Governs","")</f>
        <v xml:space="preserve">  ← Governs</v>
      </c>
      <c r="V85" s="14"/>
      <c r="W85" s="14" t="s">
        <v>55</v>
      </c>
      <c r="X85" s="533">
        <f>-2.8+0.706*LOG(X83)</f>
        <v>-2.3827083874392914</v>
      </c>
      <c r="Y85" s="534" t="str">
        <f>IF((1&lt;+X83)*AND(X83&lt;=50),"&lt;--GOVERNS","")</f>
        <v>&lt;--GOVERNS</v>
      </c>
    </row>
    <row r="86" spans="1:25" s="6" customFormat="1" ht="15.95" customHeight="1" x14ac:dyDescent="0.15">
      <c r="Q86" s="14"/>
      <c r="R86" s="14" t="s">
        <v>447</v>
      </c>
      <c r="S86" s="519">
        <v>-2</v>
      </c>
      <c r="T86" s="531" t="str">
        <f>IF(S83&gt;50,"  ← Governs","")</f>
        <v/>
      </c>
      <c r="V86" s="14"/>
      <c r="W86" s="14" t="s">
        <v>56</v>
      </c>
      <c r="X86" s="533">
        <v>-1.6</v>
      </c>
      <c r="Y86" s="534" t="str">
        <f>IF(X83&gt;50,"&lt;--GOVERNS","")</f>
        <v/>
      </c>
    </row>
    <row r="87" spans="1:25" s="6" customFormat="1" ht="15.95" customHeight="1" x14ac:dyDescent="0.15">
      <c r="Q87" s="14"/>
      <c r="R87" s="510" t="s">
        <v>448</v>
      </c>
      <c r="S87" s="532">
        <f>IF(S83&lt;=2,S84,IF(S83&gt;50,S86,S85))</f>
        <v>-3.266186347989791</v>
      </c>
      <c r="T87" s="14"/>
      <c r="V87" s="14"/>
      <c r="W87" s="510" t="s">
        <v>448</v>
      </c>
      <c r="X87" s="532">
        <f>IF(X83&lt;=1,X84,IF(X83&gt;50,X86,X85))</f>
        <v>-2.3827083874392914</v>
      </c>
      <c r="Y87" s="14"/>
    </row>
    <row r="88" spans="1:25" s="6" customFormat="1" ht="15.95" customHeight="1" x14ac:dyDescent="0.15">
      <c r="B88" s="535"/>
    </row>
    <row r="89" spans="1:25" s="6" customFormat="1" ht="15.95" customHeight="1" x14ac:dyDescent="0.15"/>
    <row r="90" spans="1:25" s="6" customFormat="1" ht="15.95" customHeight="1" x14ac:dyDescent="0.15">
      <c r="G90" s="495"/>
    </row>
    <row r="91" spans="1:25" s="6" customFormat="1" ht="15.95" customHeight="1" x14ac:dyDescent="0.15"/>
    <row r="92" spans="1:25" s="6" customFormat="1" ht="15.95" customHeight="1" x14ac:dyDescent="0.15"/>
    <row r="93" spans="1:25" s="6" customFormat="1" ht="15.95" customHeight="1" x14ac:dyDescent="0.15"/>
    <row r="94" spans="1:25" s="6" customFormat="1" ht="15.95" customHeight="1" x14ac:dyDescent="0.15"/>
    <row r="95" spans="1:25" s="6" customFormat="1" ht="15.95" customHeight="1" x14ac:dyDescent="0.15"/>
    <row r="96" spans="1:25" s="6" customFormat="1" ht="15.95" customHeight="1" x14ac:dyDescent="0.15"/>
    <row r="97" spans="17:20" s="6" customFormat="1" ht="15.95" customHeight="1" x14ac:dyDescent="0.15"/>
    <row r="98" spans="17:20" s="6" customFormat="1" ht="15.95" customHeight="1" x14ac:dyDescent="0.15"/>
    <row r="99" spans="17:20" s="6" customFormat="1" ht="15.95" customHeight="1" x14ac:dyDescent="0.15"/>
    <row r="100" spans="17:20" s="6" customFormat="1" ht="15.95" customHeight="1" x14ac:dyDescent="0.15"/>
    <row r="101" spans="17:20" s="6" customFormat="1" ht="15.95" customHeight="1" x14ac:dyDescent="0.15">
      <c r="Q101" s="14"/>
      <c r="R101" s="14"/>
      <c r="S101" s="14"/>
      <c r="T101" s="14"/>
    </row>
    <row r="102" spans="17:20" s="6" customFormat="1" ht="15.95" customHeight="1" x14ac:dyDescent="0.15"/>
    <row r="103" spans="17:20" s="6" customFormat="1" ht="15.95" customHeight="1" x14ac:dyDescent="0.15"/>
    <row r="104" spans="17:20" s="6" customFormat="1" ht="15.95" customHeight="1" x14ac:dyDescent="0.15"/>
    <row r="105" spans="17:20" s="6" customFormat="1" ht="15.95" customHeight="1" x14ac:dyDescent="0.15"/>
    <row r="106" spans="17:20" s="6" customFormat="1" ht="15.95" customHeight="1" x14ac:dyDescent="0.15"/>
    <row r="107" spans="17:20" s="6" customFormat="1" ht="15.95" customHeight="1" x14ac:dyDescent="0.15"/>
    <row r="108" spans="17:20" s="6" customFormat="1" ht="15.95" customHeight="1" x14ac:dyDescent="0.15">
      <c r="Q108" s="16"/>
      <c r="R108" s="16"/>
      <c r="S108" s="16"/>
      <c r="T108" s="16"/>
    </row>
    <row r="109" spans="17:20" s="6" customFormat="1" ht="15.95" customHeight="1" x14ac:dyDescent="0.15"/>
    <row r="110" spans="17:20" s="6" customFormat="1" ht="15.95" customHeight="1" x14ac:dyDescent="0.15"/>
    <row r="111" spans="17:20" s="6" customFormat="1" ht="15.95" customHeight="1" x14ac:dyDescent="0.15"/>
    <row r="112" spans="17:20" s="6" customFormat="1" ht="15.95" customHeight="1" x14ac:dyDescent="0.15"/>
    <row r="113" s="6" customFormat="1" ht="15.95" customHeight="1" x14ac:dyDescent="0.15"/>
    <row r="114" s="6" customFormat="1" ht="15.95" customHeight="1" x14ac:dyDescent="0.15"/>
    <row r="115" s="6" customFormat="1" ht="15.95" customHeight="1" x14ac:dyDescent="0.15"/>
    <row r="116" s="6" customFormat="1" ht="15.95" customHeight="1" x14ac:dyDescent="0.15"/>
    <row r="117" s="6" customFormat="1" ht="15.95" customHeight="1" x14ac:dyDescent="0.15"/>
    <row r="118" s="6" customFormat="1" ht="15.95" customHeight="1" x14ac:dyDescent="0.15"/>
    <row r="119" s="6" customFormat="1" ht="15.95" customHeight="1" x14ac:dyDescent="0.15"/>
    <row r="120" s="6" customFormat="1" ht="15.95" customHeight="1" x14ac:dyDescent="0.15"/>
    <row r="121" s="6" customFormat="1" ht="15.95" customHeight="1" x14ac:dyDescent="0.15"/>
    <row r="122" s="6" customFormat="1" ht="15.95" customHeight="1" x14ac:dyDescent="0.15"/>
    <row r="123" s="6" customFormat="1" ht="15.95" customHeight="1" x14ac:dyDescent="0.15"/>
    <row r="124" s="6" customFormat="1" ht="15.95" customHeight="1" x14ac:dyDescent="0.15"/>
    <row r="125" s="6" customFormat="1" ht="15.95" customHeight="1" x14ac:dyDescent="0.15"/>
    <row r="126" s="6" customFormat="1" ht="15.95" customHeight="1" x14ac:dyDescent="0.15"/>
    <row r="127" s="6" customFormat="1" ht="15.95" customHeight="1" x14ac:dyDescent="0.15"/>
    <row r="128" s="6" customFormat="1" ht="15.95" customHeight="1" x14ac:dyDescent="0.15"/>
    <row r="129" s="6" customFormat="1" ht="15.95" customHeight="1" x14ac:dyDescent="0.15"/>
    <row r="130" s="6" customFormat="1" ht="15.95" customHeight="1" x14ac:dyDescent="0.15"/>
    <row r="131" s="6" customFormat="1" ht="15.95" customHeight="1" x14ac:dyDescent="0.15"/>
    <row r="132" s="6" customFormat="1" ht="15.95" customHeight="1" x14ac:dyDescent="0.15"/>
    <row r="133" s="6" customFormat="1" ht="15.95" customHeight="1" x14ac:dyDescent="0.15"/>
    <row r="134" s="6" customFormat="1" ht="15.95" customHeight="1" x14ac:dyDescent="0.15"/>
    <row r="135" s="6" customFormat="1" ht="15.95" customHeight="1" x14ac:dyDescent="0.15"/>
    <row r="136" s="6" customFormat="1" ht="15.95" customHeight="1" x14ac:dyDescent="0.15"/>
    <row r="137" s="6" customFormat="1" ht="15.95" customHeight="1" x14ac:dyDescent="0.15"/>
    <row r="138" s="6" customFormat="1" ht="15.95" customHeight="1" x14ac:dyDescent="0.15"/>
    <row r="139" s="6" customFormat="1" ht="15.95" customHeight="1" x14ac:dyDescent="0.15"/>
    <row r="140" s="6" customFormat="1" ht="15.95" customHeight="1" x14ac:dyDescent="0.15"/>
    <row r="141" s="6" customFormat="1" ht="15.95" customHeight="1" x14ac:dyDescent="0.15"/>
    <row r="142" s="6" customFormat="1" ht="15.95" customHeight="1" x14ac:dyDescent="0.15"/>
    <row r="143" s="6" customFormat="1" ht="15.95" customHeight="1" x14ac:dyDescent="0.15"/>
    <row r="144" s="6" customFormat="1" ht="15.95" customHeight="1" x14ac:dyDescent="0.15"/>
    <row r="145" s="6" customFormat="1" ht="15.95" customHeight="1" x14ac:dyDescent="0.15"/>
    <row r="146" s="6" customFormat="1" ht="15.95" customHeight="1" x14ac:dyDescent="0.15"/>
    <row r="147" s="6" customFormat="1" ht="15.95" customHeight="1" x14ac:dyDescent="0.15"/>
    <row r="148" s="6" customFormat="1" ht="15.95" customHeight="1" x14ac:dyDescent="0.15"/>
    <row r="149" s="6" customFormat="1" ht="15.95" customHeight="1" x14ac:dyDescent="0.15"/>
    <row r="150" s="6" customFormat="1" ht="15.95" customHeight="1" x14ac:dyDescent="0.15"/>
    <row r="151" s="6" customFormat="1" ht="15.95" customHeight="1" x14ac:dyDescent="0.15"/>
  </sheetData>
  <sheetProtection selectLockedCells="1"/>
  <mergeCells count="18">
    <mergeCell ref="J5:M5"/>
    <mergeCell ref="F9:G9"/>
    <mergeCell ref="C21:C22"/>
    <mergeCell ref="D21:D22"/>
    <mergeCell ref="E21:E22"/>
    <mergeCell ref="F21:G21"/>
    <mergeCell ref="H21:H22"/>
    <mergeCell ref="I21:J21"/>
    <mergeCell ref="H45:L45"/>
    <mergeCell ref="Q22:R22"/>
    <mergeCell ref="T22:U22"/>
    <mergeCell ref="C23:C24"/>
    <mergeCell ref="D23:D26"/>
    <mergeCell ref="E23:E26"/>
    <mergeCell ref="F23:F26"/>
    <mergeCell ref="G23:G24"/>
    <mergeCell ref="C25:C26"/>
    <mergeCell ref="G25:G26"/>
  </mergeCells>
  <phoneticPr fontId="2" type="noConversion"/>
  <hyperlinks>
    <hyperlink ref="J5" r:id="rId1" xr:uid="{93326669-3EBB-4535-A054-DD6E1B84C8B6}"/>
  </hyperlinks>
  <printOptions horizontalCentered="1"/>
  <pageMargins left="0.51181102362204722" right="0.51181102362204722" top="0.78740157480314965" bottom="0.59055118110236227" header="0.39370078740157483" footer="0.39370078740157483"/>
  <pageSetup paperSize="9" orientation="portrait" r:id="rId2"/>
  <headerFooter alignWithMargins="0"/>
  <drawing r:id="rId3"/>
  <legacyDrawing r:id="rId4"/>
  <oleObjects>
    <mc:AlternateContent xmlns:mc="http://schemas.openxmlformats.org/markup-compatibility/2006">
      <mc:Choice Requires="x14">
        <oleObject progId="AutoCAD.Drawing.19" shapeId="143361" r:id="rId5">
          <objectPr defaultSize="0" autoPict="0" r:id="rId6">
            <anchor moveWithCells="1">
              <from>
                <xdr:col>2</xdr:col>
                <xdr:colOff>0</xdr:colOff>
                <xdr:row>32</xdr:row>
                <xdr:rowOff>57150</xdr:rowOff>
              </from>
              <to>
                <xdr:col>5</xdr:col>
                <xdr:colOff>85725</xdr:colOff>
                <xdr:row>43</xdr:row>
                <xdr:rowOff>152400</xdr:rowOff>
              </to>
            </anchor>
          </objectPr>
        </oleObject>
      </mc:Choice>
      <mc:Fallback>
        <oleObject progId="AutoCAD.Drawing.19" shapeId="143361" r:id="rId5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51A55C-F3D5-4017-931A-A6DB4A3568B4}">
  <sheetPr codeName="Sheet10">
    <tabColor rgb="FF00B0F0"/>
  </sheetPr>
  <dimension ref="A1:Z304"/>
  <sheetViews>
    <sheetView view="pageBreakPreview" zoomScale="75" zoomScaleSheetLayoutView="75" workbookViewId="0">
      <selection activeCell="G6" sqref="G6"/>
    </sheetView>
  </sheetViews>
  <sheetFormatPr defaultColWidth="5.77734375" defaultRowHeight="15" customHeight="1" x14ac:dyDescent="0.15"/>
  <cols>
    <col min="1" max="1" width="2.77734375" style="191" customWidth="1"/>
    <col min="2" max="10" width="8.109375" style="191" customWidth="1"/>
    <col min="11" max="11" width="2.77734375" style="191" customWidth="1"/>
    <col min="12" max="12" width="6.77734375" style="191" customWidth="1"/>
    <col min="13" max="13" width="8.77734375" style="193" customWidth="1"/>
    <col min="14" max="14" width="9.6640625" style="191" customWidth="1"/>
    <col min="15" max="15" width="11.77734375" style="191" customWidth="1"/>
    <col min="16" max="16" width="6.77734375" style="191" customWidth="1"/>
    <col min="17" max="18" width="7.33203125" style="191" customWidth="1"/>
    <col min="19" max="19" width="6.77734375" style="191" customWidth="1"/>
    <col min="20" max="20" width="10.77734375" style="191" hidden="1" customWidth="1"/>
    <col min="21" max="21" width="6.77734375" style="191" hidden="1" customWidth="1"/>
    <col min="22" max="25" width="14.77734375" style="191" hidden="1" customWidth="1"/>
    <col min="26" max="26" width="20.77734375" style="191" hidden="1" customWidth="1"/>
    <col min="27" max="29" width="20.77734375" style="191" customWidth="1"/>
    <col min="30" max="16384" width="5.77734375" style="191"/>
  </cols>
  <sheetData>
    <row r="1" spans="1:25" ht="15.95" customHeight="1" x14ac:dyDescent="0.15">
      <c r="A1" s="368" t="s">
        <v>894</v>
      </c>
      <c r="C1" s="192"/>
      <c r="D1" s="192"/>
      <c r="E1" s="192"/>
      <c r="F1" s="192"/>
      <c r="G1" s="192"/>
      <c r="H1" s="192"/>
      <c r="I1" s="192"/>
      <c r="J1" s="192"/>
      <c r="K1" s="192"/>
      <c r="L1" s="192"/>
    </row>
    <row r="2" spans="1:25" ht="15.95" customHeight="1" x14ac:dyDescent="0.15">
      <c r="A2" s="192"/>
      <c r="B2" s="192"/>
      <c r="C2" s="192"/>
      <c r="D2" s="192"/>
      <c r="E2" s="192"/>
      <c r="F2" s="192"/>
      <c r="G2" s="192"/>
      <c r="H2" s="192"/>
      <c r="I2" s="192"/>
      <c r="J2" s="192"/>
      <c r="K2" s="192"/>
      <c r="L2" s="192"/>
    </row>
    <row r="3" spans="1:25" ht="15.95" customHeight="1" x14ac:dyDescent="0.15">
      <c r="A3" s="192"/>
      <c r="B3" s="19" t="s">
        <v>652</v>
      </c>
      <c r="C3" s="192"/>
      <c r="D3" s="192"/>
      <c r="E3" s="192"/>
      <c r="F3" s="192"/>
      <c r="G3" s="192"/>
      <c r="H3" s="192"/>
      <c r="I3" s="192"/>
      <c r="J3" s="192"/>
      <c r="K3" s="192"/>
      <c r="L3" s="192"/>
      <c r="Q3" s="208" t="s">
        <v>754</v>
      </c>
      <c r="R3" s="205" t="s">
        <v>755</v>
      </c>
      <c r="S3" s="201" t="s">
        <v>756</v>
      </c>
    </row>
    <row r="4" spans="1:25" ht="15.95" customHeight="1" x14ac:dyDescent="0.15">
      <c r="A4" s="192"/>
      <c r="B4" s="192"/>
      <c r="C4" s="192"/>
      <c r="D4" s="192"/>
      <c r="E4" s="192"/>
      <c r="F4" s="192"/>
      <c r="G4" s="192"/>
      <c r="H4" s="192"/>
      <c r="I4" s="192"/>
      <c r="J4" s="192"/>
      <c r="K4" s="192"/>
      <c r="L4" s="192"/>
      <c r="Q4" s="201">
        <v>12</v>
      </c>
      <c r="R4" s="579">
        <v>6</v>
      </c>
      <c r="S4" s="201" t="s">
        <v>759</v>
      </c>
    </row>
    <row r="5" spans="1:25" ht="15.95" customHeight="1" x14ac:dyDescent="0.15">
      <c r="A5" s="192"/>
      <c r="B5" s="197" t="s">
        <v>653</v>
      </c>
      <c r="C5" s="193" t="s">
        <v>643</v>
      </c>
      <c r="D5" s="42">
        <f>(SUMPRODUCT((M8:M10=M7)*(N7:O7=L7),N8:O10))</f>
        <v>0</v>
      </c>
      <c r="E5" s="192" t="s">
        <v>654</v>
      </c>
      <c r="H5" s="192" t="s">
        <v>655</v>
      </c>
      <c r="J5" s="192"/>
      <c r="K5" s="192"/>
      <c r="L5" s="192"/>
      <c r="N5" s="198"/>
      <c r="O5" s="192"/>
      <c r="Q5" s="201">
        <v>16</v>
      </c>
      <c r="R5" s="579">
        <v>10</v>
      </c>
      <c r="S5" s="201" t="s">
        <v>760</v>
      </c>
    </row>
    <row r="6" spans="1:25" ht="15.95" customHeight="1" x14ac:dyDescent="0.15">
      <c r="A6" s="192"/>
      <c r="B6" s="197" t="s">
        <v>656</v>
      </c>
      <c r="C6" s="193" t="s">
        <v>643</v>
      </c>
      <c r="D6" s="198">
        <v>69600</v>
      </c>
      <c r="E6" s="210" t="s">
        <v>657</v>
      </c>
      <c r="F6" s="198" t="s">
        <v>658</v>
      </c>
      <c r="G6" s="572">
        <v>5</v>
      </c>
      <c r="H6" s="192" t="s">
        <v>659</v>
      </c>
      <c r="J6" s="192"/>
      <c r="K6" s="192"/>
      <c r="L6" s="694" t="s">
        <v>543</v>
      </c>
      <c r="M6" s="694"/>
      <c r="N6" s="188"/>
      <c r="O6" s="189"/>
      <c r="Q6" s="201">
        <v>18</v>
      </c>
      <c r="R6" s="579">
        <v>12</v>
      </c>
      <c r="S6" s="201" t="s">
        <v>765</v>
      </c>
    </row>
    <row r="7" spans="1:25" ht="15.95" customHeight="1" x14ac:dyDescent="0.15">
      <c r="A7" s="192"/>
      <c r="B7" s="197" t="s">
        <v>660</v>
      </c>
      <c r="C7" s="193" t="s">
        <v>643</v>
      </c>
      <c r="D7" s="573">
        <v>24</v>
      </c>
      <c r="E7" s="199" t="s">
        <v>661</v>
      </c>
      <c r="H7" s="192" t="s">
        <v>662</v>
      </c>
      <c r="J7" s="193"/>
      <c r="L7" s="562" t="s">
        <v>541</v>
      </c>
      <c r="M7" s="563">
        <v>1</v>
      </c>
      <c r="N7" s="185" t="s">
        <v>541</v>
      </c>
      <c r="O7" s="185" t="s">
        <v>542</v>
      </c>
      <c r="Q7" s="201">
        <v>22</v>
      </c>
      <c r="R7" s="579">
        <v>10</v>
      </c>
      <c r="S7" s="201" t="s">
        <v>767</v>
      </c>
    </row>
    <row r="8" spans="1:25" ht="15.95" customHeight="1" x14ac:dyDescent="0.15">
      <c r="A8" s="192"/>
      <c r="B8" s="197" t="s">
        <v>663</v>
      </c>
      <c r="C8" s="193" t="s">
        <v>643</v>
      </c>
      <c r="D8" s="574">
        <v>4</v>
      </c>
      <c r="E8" s="199" t="s">
        <v>664</v>
      </c>
      <c r="H8" s="192" t="s">
        <v>665</v>
      </c>
      <c r="J8" s="193"/>
      <c r="L8" s="190" t="s">
        <v>453</v>
      </c>
      <c r="M8" s="186">
        <v>1</v>
      </c>
      <c r="N8" s="187" t="str">
        <f>풍하중!$T$8</f>
        <v>-</v>
      </c>
      <c r="O8" s="187">
        <f>풍하중!$U$8</f>
        <v>1.52</v>
      </c>
      <c r="Q8" s="201">
        <v>24</v>
      </c>
      <c r="R8" s="579">
        <v>12</v>
      </c>
      <c r="S8" s="201" t="s">
        <v>768</v>
      </c>
    </row>
    <row r="9" spans="1:25" ht="15.95" customHeight="1" x14ac:dyDescent="0.15">
      <c r="A9" s="192"/>
      <c r="B9" s="197" t="s">
        <v>666</v>
      </c>
      <c r="C9" s="193" t="s">
        <v>643</v>
      </c>
      <c r="D9" s="573">
        <v>1500</v>
      </c>
      <c r="E9" s="192" t="s">
        <v>644</v>
      </c>
      <c r="H9" s="192" t="s">
        <v>667</v>
      </c>
      <c r="J9" s="192"/>
      <c r="K9" s="192"/>
      <c r="L9" s="190" t="s">
        <v>454</v>
      </c>
      <c r="M9" s="186">
        <v>2</v>
      </c>
      <c r="N9" s="187" t="str">
        <f>풍하중!$T$9</f>
        <v>-</v>
      </c>
      <c r="O9" s="187">
        <f>풍하중!$U$9</f>
        <v>-1.1619999999999999</v>
      </c>
      <c r="Q9" s="201">
        <v>28</v>
      </c>
      <c r="R9" s="579">
        <v>16</v>
      </c>
      <c r="S9" s="201" t="s">
        <v>769</v>
      </c>
    </row>
    <row r="10" spans="1:25" ht="15.95" customHeight="1" x14ac:dyDescent="0.15">
      <c r="A10" s="192"/>
      <c r="B10" s="197" t="s">
        <v>668</v>
      </c>
      <c r="C10" s="193" t="s">
        <v>643</v>
      </c>
      <c r="D10" s="573">
        <v>650</v>
      </c>
      <c r="E10" s="192" t="s">
        <v>644</v>
      </c>
      <c r="H10" s="192" t="s">
        <v>669</v>
      </c>
      <c r="J10" s="192"/>
      <c r="K10" s="192"/>
      <c r="L10" s="190" t="s">
        <v>455</v>
      </c>
      <c r="M10" s="186">
        <v>3</v>
      </c>
      <c r="N10" s="187" t="str">
        <f>풍하중!$T$10</f>
        <v>-</v>
      </c>
      <c r="O10" s="187">
        <f>풍하중!$U$10</f>
        <v>-1.39</v>
      </c>
    </row>
    <row r="11" spans="1:25" ht="15.95" customHeight="1" x14ac:dyDescent="0.15">
      <c r="A11" s="192"/>
      <c r="B11" s="197" t="s">
        <v>670</v>
      </c>
      <c r="C11" s="193" t="s">
        <v>643</v>
      </c>
      <c r="D11" s="575">
        <v>1700</v>
      </c>
      <c r="E11" s="192" t="s">
        <v>644</v>
      </c>
      <c r="H11" s="192"/>
      <c r="J11" s="192"/>
      <c r="K11" s="192"/>
      <c r="L11" s="192"/>
      <c r="M11" s="192"/>
      <c r="N11" s="192"/>
      <c r="O11" s="192"/>
      <c r="R11" s="80"/>
    </row>
    <row r="12" spans="1:25" ht="15.95" customHeight="1" x14ac:dyDescent="0.15">
      <c r="A12" s="192"/>
      <c r="B12" s="197" t="s">
        <v>671</v>
      </c>
      <c r="C12" s="193" t="s">
        <v>643</v>
      </c>
      <c r="D12" s="229">
        <f>D84</f>
        <v>59472.796674375</v>
      </c>
      <c r="E12" s="192" t="s">
        <v>882</v>
      </c>
      <c r="F12" s="215" t="s">
        <v>672</v>
      </c>
      <c r="H12" s="192" t="s">
        <v>673</v>
      </c>
      <c r="J12" s="192"/>
      <c r="K12" s="192"/>
      <c r="L12" s="192"/>
      <c r="M12" s="192"/>
      <c r="N12" s="192"/>
      <c r="O12" s="192"/>
    </row>
    <row r="13" spans="1:25" ht="15.95" customHeight="1" thickBot="1" x14ac:dyDescent="0.2">
      <c r="A13" s="192"/>
      <c r="B13" s="197" t="s">
        <v>674</v>
      </c>
      <c r="C13" s="193" t="s">
        <v>643</v>
      </c>
      <c r="D13" s="229">
        <f>D132</f>
        <v>0</v>
      </c>
      <c r="E13" s="192" t="str">
        <f>E12</f>
        <v>N.mm</v>
      </c>
      <c r="F13" s="215" t="s">
        <v>672</v>
      </c>
      <c r="H13" s="192"/>
      <c r="J13" s="192"/>
      <c r="K13" s="192"/>
      <c r="L13" s="192"/>
      <c r="M13" s="192"/>
      <c r="N13" s="192"/>
      <c r="O13" s="192"/>
    </row>
    <row r="14" spans="1:25" ht="15.95" customHeight="1" thickBot="1" x14ac:dyDescent="0.2">
      <c r="A14" s="192"/>
      <c r="B14" s="197" t="s">
        <v>675</v>
      </c>
      <c r="C14" s="193" t="s">
        <v>643</v>
      </c>
      <c r="D14" s="230">
        <f>D90</f>
        <v>0.47228377811926775</v>
      </c>
      <c r="E14" s="192" t="s">
        <v>644</v>
      </c>
      <c r="F14" s="215" t="s">
        <v>672</v>
      </c>
      <c r="H14" s="192" t="s">
        <v>676</v>
      </c>
      <c r="J14" s="231"/>
      <c r="K14" s="192"/>
      <c r="L14" s="192"/>
      <c r="M14" s="138" t="s">
        <v>287</v>
      </c>
      <c r="N14" s="139"/>
      <c r="O14" s="140"/>
      <c r="T14" s="80" t="s">
        <v>155</v>
      </c>
      <c r="U14" s="24">
        <f>U29*W29</f>
        <v>60</v>
      </c>
      <c r="V14" s="80" t="s">
        <v>156</v>
      </c>
      <c r="W14" s="24">
        <f>W29/2</f>
        <v>15</v>
      </c>
      <c r="X14" s="80" t="s">
        <v>157</v>
      </c>
      <c r="Y14" s="24">
        <f>U28+W27/2</f>
        <v>30</v>
      </c>
    </row>
    <row r="15" spans="1:25" ht="15.95" customHeight="1" x14ac:dyDescent="0.15">
      <c r="A15" s="192"/>
      <c r="B15" s="197" t="s">
        <v>677</v>
      </c>
      <c r="C15" s="193" t="s">
        <v>643</v>
      </c>
      <c r="D15" s="230">
        <f>D138</f>
        <v>0</v>
      </c>
      <c r="E15" s="192" t="s">
        <v>644</v>
      </c>
      <c r="F15" s="215" t="s">
        <v>672</v>
      </c>
      <c r="G15" s="192"/>
      <c r="I15" s="192"/>
      <c r="J15" s="231"/>
      <c r="K15" s="192"/>
      <c r="L15" s="192"/>
      <c r="M15" s="84" t="s">
        <v>46</v>
      </c>
      <c r="N15" s="564">
        <v>60</v>
      </c>
      <c r="O15" s="85" t="s">
        <v>468</v>
      </c>
      <c r="T15" s="80" t="s">
        <v>158</v>
      </c>
      <c r="U15" s="24">
        <f>W27*U27</f>
        <v>112</v>
      </c>
      <c r="V15" s="80" t="s">
        <v>159</v>
      </c>
      <c r="W15" s="24">
        <f>W29+U27/2</f>
        <v>31</v>
      </c>
      <c r="X15" s="80" t="s">
        <v>160</v>
      </c>
      <c r="Y15" s="24">
        <f>U28+W27/2</f>
        <v>30</v>
      </c>
    </row>
    <row r="16" spans="1:25" ht="15.95" customHeight="1" x14ac:dyDescent="0.15">
      <c r="A16" s="192"/>
      <c r="B16" s="192"/>
      <c r="C16" s="232"/>
      <c r="D16" s="232"/>
      <c r="E16" s="232"/>
      <c r="I16" s="192"/>
      <c r="J16" s="192"/>
      <c r="K16" s="192"/>
      <c r="L16" s="192"/>
      <c r="M16" s="71" t="s">
        <v>199</v>
      </c>
      <c r="N16" s="565">
        <v>120</v>
      </c>
      <c r="O16" s="86" t="s">
        <v>468</v>
      </c>
      <c r="T16" s="80" t="s">
        <v>161</v>
      </c>
      <c r="U16" s="24">
        <f>W27*U27</f>
        <v>112</v>
      </c>
      <c r="V16" s="80" t="s">
        <v>162</v>
      </c>
      <c r="W16" s="24">
        <f>W29+(W28-U27)+U27/2</f>
        <v>149</v>
      </c>
      <c r="X16" s="80" t="s">
        <v>163</v>
      </c>
      <c r="Y16" s="24">
        <f>U28+W27/2</f>
        <v>30</v>
      </c>
    </row>
    <row r="17" spans="1:25" ht="15.95" customHeight="1" x14ac:dyDescent="0.15">
      <c r="A17" s="192"/>
      <c r="B17" s="19" t="s">
        <v>678</v>
      </c>
      <c r="C17" s="233"/>
      <c r="D17" s="232"/>
      <c r="F17" s="215" t="s">
        <v>672</v>
      </c>
      <c r="J17" s="192"/>
      <c r="K17" s="192"/>
      <c r="L17" s="192"/>
      <c r="M17" s="71" t="s">
        <v>204</v>
      </c>
      <c r="N17" s="565">
        <v>30</v>
      </c>
      <c r="O17" s="86" t="s">
        <v>468</v>
      </c>
      <c r="T17" s="80" t="s">
        <v>164</v>
      </c>
      <c r="U17" s="24">
        <f>W28*U28</f>
        <v>240</v>
      </c>
      <c r="V17" s="80" t="s">
        <v>165</v>
      </c>
      <c r="W17" s="24">
        <f>W29+W28/2</f>
        <v>90</v>
      </c>
      <c r="X17" s="80" t="s">
        <v>166</v>
      </c>
      <c r="Y17" s="24">
        <f>U28/2</f>
        <v>1</v>
      </c>
    </row>
    <row r="18" spans="1:25" ht="15.95" customHeight="1" x14ac:dyDescent="0.15">
      <c r="A18" s="192"/>
      <c r="B18" s="192"/>
      <c r="C18" s="233"/>
      <c r="D18" s="232"/>
      <c r="J18" s="192"/>
      <c r="K18" s="192"/>
      <c r="L18" s="192"/>
      <c r="M18" s="71" t="s">
        <v>74</v>
      </c>
      <c r="N18" s="565">
        <v>2</v>
      </c>
      <c r="O18" s="86" t="s">
        <v>468</v>
      </c>
      <c r="T18" s="80" t="s">
        <v>167</v>
      </c>
      <c r="U18" s="24">
        <f>W28*U28</f>
        <v>240</v>
      </c>
      <c r="V18" s="80" t="s">
        <v>168</v>
      </c>
      <c r="W18" s="24">
        <f>W29+W28/2</f>
        <v>90</v>
      </c>
      <c r="X18" s="80" t="s">
        <v>169</v>
      </c>
      <c r="Y18" s="24">
        <f>U28+W27+U28/2</f>
        <v>59</v>
      </c>
    </row>
    <row r="19" spans="1:25" ht="15.95" customHeight="1" x14ac:dyDescent="0.15">
      <c r="A19" s="192"/>
      <c r="B19" s="234" t="s">
        <v>679</v>
      </c>
      <c r="C19" s="234" t="s">
        <v>680</v>
      </c>
      <c r="D19" s="235" t="s">
        <v>681</v>
      </c>
      <c r="H19" s="711" t="s">
        <v>682</v>
      </c>
      <c r="I19" s="712"/>
      <c r="J19" s="192"/>
      <c r="K19" s="192"/>
      <c r="L19" s="192"/>
      <c r="M19" s="71" t="s">
        <v>466</v>
      </c>
      <c r="N19" s="565">
        <v>2</v>
      </c>
      <c r="O19" s="86" t="s">
        <v>468</v>
      </c>
      <c r="T19" s="80" t="s">
        <v>651</v>
      </c>
      <c r="U19" s="24">
        <f>SUM(U14:U18)</f>
        <v>764</v>
      </c>
      <c r="V19" s="80"/>
      <c r="W19" s="24"/>
      <c r="X19" s="80"/>
      <c r="Y19" s="24"/>
    </row>
    <row r="20" spans="1:25" ht="15.95" customHeight="1" thickBot="1" x14ac:dyDescent="0.2">
      <c r="A20" s="192"/>
      <c r="B20" s="236" t="s">
        <v>683</v>
      </c>
      <c r="C20" s="237" t="s">
        <v>684</v>
      </c>
      <c r="D20" s="337">
        <f>U19</f>
        <v>764</v>
      </c>
      <c r="H20" s="576" t="s">
        <v>640</v>
      </c>
      <c r="I20" s="238" t="s">
        <v>685</v>
      </c>
      <c r="J20" s="24"/>
      <c r="K20" s="336"/>
      <c r="L20" s="192"/>
      <c r="M20" s="71" t="s">
        <v>192</v>
      </c>
      <c r="N20" s="565">
        <v>2</v>
      </c>
      <c r="O20" s="86" t="s">
        <v>468</v>
      </c>
    </row>
    <row r="21" spans="1:25" ht="15.95" customHeight="1" x14ac:dyDescent="0.15">
      <c r="A21" s="192"/>
      <c r="B21" s="236" t="s">
        <v>686</v>
      </c>
      <c r="C21" s="237" t="s">
        <v>687</v>
      </c>
      <c r="D21" s="338">
        <f>N24</f>
        <v>462398.66666666663</v>
      </c>
      <c r="F21" s="47"/>
      <c r="G21" s="24"/>
      <c r="H21" s="24"/>
      <c r="I21" s="24"/>
      <c r="J21" s="24"/>
      <c r="K21" s="336"/>
      <c r="L21" s="192"/>
      <c r="M21" s="84" t="s">
        <v>196</v>
      </c>
      <c r="N21" s="151">
        <f>N16+N17</f>
        <v>150</v>
      </c>
      <c r="O21" s="85" t="s">
        <v>458</v>
      </c>
      <c r="T21" s="80" t="s">
        <v>170</v>
      </c>
      <c r="U21" s="24">
        <f>W14-Y23</f>
        <v>-69.109947643979055</v>
      </c>
      <c r="V21" s="80" t="s">
        <v>171</v>
      </c>
      <c r="W21" s="24">
        <f>Y14-Y24</f>
        <v>0</v>
      </c>
      <c r="X21" s="80" t="s">
        <v>172</v>
      </c>
      <c r="Y21" s="24">
        <f>U14*W14+U15*W15+U16*W16+U17*W17+U18*W18</f>
        <v>64260</v>
      </c>
    </row>
    <row r="22" spans="1:25" ht="15.95" customHeight="1" x14ac:dyDescent="0.15">
      <c r="A22" s="192"/>
      <c r="B22" s="236" t="s">
        <v>688</v>
      </c>
      <c r="C22" s="237" t="s">
        <v>687</v>
      </c>
      <c r="D22" s="338">
        <f>N23</f>
        <v>1671313.4310645724</v>
      </c>
      <c r="G22" s="210"/>
      <c r="H22" s="210"/>
      <c r="I22" s="210"/>
      <c r="K22" s="192"/>
      <c r="L22" s="192"/>
      <c r="M22" s="71" t="s">
        <v>77</v>
      </c>
      <c r="N22" s="23">
        <f>N15-2*N19</f>
        <v>56</v>
      </c>
      <c r="O22" s="86" t="s">
        <v>458</v>
      </c>
      <c r="T22" s="80" t="s">
        <v>174</v>
      </c>
      <c r="U22" s="24">
        <f>W15-Y23</f>
        <v>-53.109947643979055</v>
      </c>
      <c r="V22" s="80" t="s">
        <v>175</v>
      </c>
      <c r="W22" s="24">
        <f>Y15-Y24</f>
        <v>0</v>
      </c>
      <c r="X22" s="80" t="s">
        <v>176</v>
      </c>
      <c r="Y22" s="24">
        <f>U14*Y14+U15*Y15+U16*Y16+U17*Y17+U18*Y18</f>
        <v>22920</v>
      </c>
    </row>
    <row r="23" spans="1:25" ht="15.95" customHeight="1" x14ac:dyDescent="0.15">
      <c r="A23" s="192"/>
      <c r="B23" s="236" t="s">
        <v>689</v>
      </c>
      <c r="C23" s="237" t="s">
        <v>690</v>
      </c>
      <c r="D23" s="339">
        <f>N26</f>
        <v>84.109947643979055</v>
      </c>
      <c r="G23" s="210"/>
      <c r="H23" s="210" t="s">
        <v>691</v>
      </c>
      <c r="I23" s="210"/>
      <c r="K23" s="192"/>
      <c r="L23" s="192"/>
      <c r="M23" s="71" t="s">
        <v>193</v>
      </c>
      <c r="N23" s="42">
        <f>Y25</f>
        <v>1671313.4310645724</v>
      </c>
      <c r="O23" s="86" t="s">
        <v>469</v>
      </c>
      <c r="T23" s="80" t="s">
        <v>177</v>
      </c>
      <c r="U23" s="24">
        <f>W16-Y23</f>
        <v>64.890052356020945</v>
      </c>
      <c r="V23" s="80" t="s">
        <v>178</v>
      </c>
      <c r="W23" s="24">
        <f>Y16-Y24</f>
        <v>0</v>
      </c>
      <c r="X23" s="80" t="s">
        <v>179</v>
      </c>
      <c r="Y23" s="24">
        <f>Y21/(U14+U15+U16+U17+U18)</f>
        <v>84.109947643979055</v>
      </c>
    </row>
    <row r="24" spans="1:25" ht="15.95" customHeight="1" x14ac:dyDescent="0.15">
      <c r="A24" s="192"/>
      <c r="B24" s="236" t="s">
        <v>692</v>
      </c>
      <c r="C24" s="237" t="s">
        <v>690</v>
      </c>
      <c r="D24" s="339">
        <f>N25</f>
        <v>30</v>
      </c>
      <c r="G24" s="210"/>
      <c r="H24" s="210"/>
      <c r="I24" s="210"/>
      <c r="K24" s="192"/>
      <c r="L24" s="192"/>
      <c r="M24" s="71" t="s">
        <v>194</v>
      </c>
      <c r="N24" s="42">
        <f>Y26</f>
        <v>462398.66666666663</v>
      </c>
      <c r="O24" s="86" t="s">
        <v>469</v>
      </c>
      <c r="T24" s="80" t="s">
        <v>180</v>
      </c>
      <c r="U24" s="24">
        <f>W17-Y23</f>
        <v>5.890052356020945</v>
      </c>
      <c r="V24" s="80" t="s">
        <v>181</v>
      </c>
      <c r="W24" s="24">
        <f>Y17-Y24</f>
        <v>-29</v>
      </c>
      <c r="X24" s="80" t="s">
        <v>182</v>
      </c>
      <c r="Y24" s="24">
        <f>Y22/(U14+U15+U16+U17+U18)</f>
        <v>30</v>
      </c>
    </row>
    <row r="25" spans="1:25" ht="15.95" customHeight="1" x14ac:dyDescent="0.15">
      <c r="A25" s="192"/>
      <c r="B25" s="236" t="s">
        <v>693</v>
      </c>
      <c r="C25" s="237" t="s">
        <v>694</v>
      </c>
      <c r="D25" s="240">
        <f>D21/D24</f>
        <v>15413.288888888888</v>
      </c>
      <c r="G25" s="210"/>
      <c r="H25" s="210" t="s">
        <v>695</v>
      </c>
      <c r="I25" s="210"/>
      <c r="K25" s="192"/>
      <c r="L25" s="192"/>
      <c r="M25" s="71" t="s">
        <v>890</v>
      </c>
      <c r="N25" s="23">
        <f>Y24</f>
        <v>30</v>
      </c>
      <c r="O25" s="86" t="s">
        <v>458</v>
      </c>
      <c r="T25" s="80" t="s">
        <v>183</v>
      </c>
      <c r="U25" s="24">
        <f>W18-Y23</f>
        <v>5.890052356020945</v>
      </c>
      <c r="V25" s="80" t="s">
        <v>184</v>
      </c>
      <c r="W25" s="24">
        <f>Y18-Y24</f>
        <v>29</v>
      </c>
      <c r="X25" s="80" t="s">
        <v>185</v>
      </c>
      <c r="Y25" s="24">
        <f>((U29*W29*W29*W29)/12+U14*U21*U21)+((W27*U27*U27*U27)/12+U15*U22*U22)+((W27*U27*U27*U27)/12+U16*U23*U23)+((U28*W28*W28*W28)/12+U17*U24*U24)+((U28*W28*W28*W28)/12+U18*U25*U25)</f>
        <v>1671313.4310645724</v>
      </c>
    </row>
    <row r="26" spans="1:25" ht="15.95" customHeight="1" x14ac:dyDescent="0.15">
      <c r="A26" s="192"/>
      <c r="B26" s="236" t="s">
        <v>696</v>
      </c>
      <c r="C26" s="237" t="s">
        <v>694</v>
      </c>
      <c r="D26" s="240">
        <f>D22/D23</f>
        <v>19870.579852681814</v>
      </c>
      <c r="G26" s="210"/>
      <c r="H26" s="210"/>
      <c r="I26" s="210"/>
      <c r="K26" s="192"/>
      <c r="L26" s="192"/>
      <c r="M26" s="71" t="s">
        <v>891</v>
      </c>
      <c r="N26" s="23">
        <f>Y23</f>
        <v>84.109947643979055</v>
      </c>
      <c r="O26" s="86" t="s">
        <v>458</v>
      </c>
      <c r="T26" s="38"/>
      <c r="U26" s="24"/>
      <c r="V26" s="38"/>
      <c r="W26" s="24"/>
      <c r="X26" s="80" t="s">
        <v>186</v>
      </c>
      <c r="Y26" s="24">
        <f>((W29*U29*U29*U29)/12+U14*W21*W21)+((U27*W27*W27*W27)/12+U15*W22*W22)+((U27*W27*W27*W27)/12+U16*W23*W23)+((W28*U28*U28*U28)/12+U17*W24*W24)+((W28*U28*U28*U28)/12+U18*W25*W25)</f>
        <v>462398.66666666663</v>
      </c>
    </row>
    <row r="27" spans="1:25" ht="15.95" customHeight="1" x14ac:dyDescent="0.15">
      <c r="A27" s="192"/>
      <c r="B27" s="236" t="s">
        <v>697</v>
      </c>
      <c r="C27" s="238" t="s">
        <v>687</v>
      </c>
      <c r="D27" s="287">
        <f>(2*D34*D33*(D31-D34)^2*(D32-D33)^2)/((D31*D34)+(D32*D33)-D34^2-D33^2)</f>
        <v>1064553.0909090908</v>
      </c>
      <c r="G27" s="220"/>
      <c r="H27" s="220" t="s">
        <v>698</v>
      </c>
      <c r="K27" s="192"/>
      <c r="L27" s="192"/>
      <c r="M27" s="71" t="s">
        <v>195</v>
      </c>
      <c r="N27" s="23">
        <f>N23/N26</f>
        <v>19870.579852681814</v>
      </c>
      <c r="O27" s="86" t="s">
        <v>470</v>
      </c>
      <c r="T27" s="80" t="s">
        <v>462</v>
      </c>
      <c r="U27" s="24">
        <f>N18</f>
        <v>2</v>
      </c>
      <c r="V27" s="80" t="s">
        <v>77</v>
      </c>
      <c r="W27" s="24">
        <f>N22</f>
        <v>56</v>
      </c>
      <c r="X27" s="38"/>
      <c r="Y27" s="24"/>
    </row>
    <row r="28" spans="1:25" ht="15.95" customHeight="1" thickBot="1" x14ac:dyDescent="0.2">
      <c r="A28" s="192"/>
      <c r="B28" s="192"/>
      <c r="C28" s="241"/>
      <c r="D28" s="192"/>
      <c r="E28" s="192"/>
      <c r="F28" s="192"/>
      <c r="K28" s="192"/>
      <c r="L28" s="192"/>
      <c r="M28" s="87" t="s">
        <v>349</v>
      </c>
      <c r="N28" s="152">
        <f>(2*N19*N18*(N15-N19)^2*(N16-N18)^2)/((N15*N19)+(N16*N18)-N19^2-N18^2)</f>
        <v>1064553.0909090908</v>
      </c>
      <c r="O28" s="88" t="s">
        <v>470</v>
      </c>
      <c r="T28" s="80" t="s">
        <v>461</v>
      </c>
      <c r="U28" s="24">
        <f>N19</f>
        <v>2</v>
      </c>
      <c r="V28" s="80" t="s">
        <v>463</v>
      </c>
      <c r="W28" s="24">
        <f>N16</f>
        <v>120</v>
      </c>
      <c r="X28" s="38"/>
      <c r="Y28" s="24"/>
    </row>
    <row r="29" spans="1:25" ht="15.95" customHeight="1" x14ac:dyDescent="0.15">
      <c r="A29" s="192"/>
      <c r="F29" s="192"/>
      <c r="J29" s="242"/>
      <c r="K29" s="192"/>
      <c r="L29" s="192"/>
      <c r="T29" s="80" t="s">
        <v>467</v>
      </c>
      <c r="U29" s="24">
        <f>N20</f>
        <v>2</v>
      </c>
      <c r="V29" s="80" t="s">
        <v>464</v>
      </c>
      <c r="W29" s="24">
        <f>N17</f>
        <v>30</v>
      </c>
      <c r="X29" s="38"/>
      <c r="Y29" s="24"/>
    </row>
    <row r="30" spans="1:25" ht="15.95" customHeight="1" x14ac:dyDescent="0.15">
      <c r="A30" s="192"/>
      <c r="B30" s="713" t="s">
        <v>699</v>
      </c>
      <c r="C30" s="713"/>
      <c r="D30" s="714"/>
      <c r="E30" s="715" t="s">
        <v>700</v>
      </c>
      <c r="F30" s="715"/>
      <c r="G30" s="716"/>
      <c r="J30" s="242"/>
      <c r="K30" s="192"/>
      <c r="L30" s="192"/>
    </row>
    <row r="31" spans="1:25" ht="15.95" customHeight="1" x14ac:dyDescent="0.15">
      <c r="A31" s="192"/>
      <c r="B31" s="288"/>
      <c r="C31" s="289" t="s">
        <v>701</v>
      </c>
      <c r="D31" s="293">
        <f>N15</f>
        <v>60</v>
      </c>
      <c r="E31" s="290" t="s">
        <v>702</v>
      </c>
      <c r="F31" s="291" t="s">
        <v>703</v>
      </c>
      <c r="G31" s="292" t="s">
        <v>704</v>
      </c>
      <c r="J31" s="242"/>
      <c r="K31" s="192"/>
      <c r="L31" s="192"/>
    </row>
    <row r="32" spans="1:25" s="193" customFormat="1" ht="15.95" customHeight="1" x14ac:dyDescent="0.15">
      <c r="A32" s="192"/>
      <c r="B32" s="210"/>
      <c r="C32" s="289" t="s">
        <v>705</v>
      </c>
      <c r="D32" s="293">
        <f>N16</f>
        <v>120</v>
      </c>
      <c r="E32" s="290" t="s">
        <v>706</v>
      </c>
      <c r="F32" s="341" t="s">
        <v>707</v>
      </c>
      <c r="G32" s="342" t="s">
        <v>707</v>
      </c>
      <c r="I32" s="191"/>
      <c r="K32" s="192"/>
      <c r="L32" s="192"/>
      <c r="M32" s="194" t="s">
        <v>708</v>
      </c>
      <c r="N32" s="191"/>
      <c r="O32" s="191"/>
      <c r="P32" s="191"/>
    </row>
    <row r="33" spans="1:16" s="193" customFormat="1" ht="15.95" customHeight="1" x14ac:dyDescent="0.15">
      <c r="A33" s="192"/>
      <c r="B33" s="210"/>
      <c r="C33" s="289" t="s">
        <v>709</v>
      </c>
      <c r="D33" s="293">
        <f>N18</f>
        <v>2</v>
      </c>
      <c r="E33" s="290" t="s">
        <v>641</v>
      </c>
      <c r="F33" s="343">
        <f>D33</f>
        <v>2</v>
      </c>
      <c r="G33" s="340">
        <f>D31-2*D34</f>
        <v>56</v>
      </c>
      <c r="I33" s="191"/>
      <c r="K33" s="192"/>
      <c r="L33" s="192"/>
      <c r="M33" s="194" t="s">
        <v>710</v>
      </c>
      <c r="N33" s="191"/>
      <c r="O33" s="191"/>
      <c r="P33" s="191"/>
    </row>
    <row r="34" spans="1:16" s="193" customFormat="1" ht="15.95" customHeight="1" x14ac:dyDescent="0.15">
      <c r="A34" s="192"/>
      <c r="B34" s="203"/>
      <c r="C34" s="289" t="s">
        <v>711</v>
      </c>
      <c r="D34" s="293">
        <f>N19</f>
        <v>2</v>
      </c>
      <c r="E34" s="290" t="s">
        <v>642</v>
      </c>
      <c r="F34" s="344">
        <f>D34</f>
        <v>2</v>
      </c>
      <c r="G34" s="340">
        <f>D32-2*D33</f>
        <v>116</v>
      </c>
      <c r="I34" s="191"/>
      <c r="K34" s="192"/>
      <c r="L34" s="192"/>
      <c r="M34" s="194" t="s">
        <v>712</v>
      </c>
      <c r="N34" s="191"/>
      <c r="O34" s="191"/>
      <c r="P34" s="191"/>
    </row>
    <row r="35" spans="1:16" s="193" customFormat="1" ht="15.95" customHeight="1" x14ac:dyDescent="0.15">
      <c r="A35" s="192"/>
      <c r="B35" s="210"/>
      <c r="D35" s="215"/>
      <c r="E35" s="191"/>
      <c r="G35" s="192"/>
      <c r="I35" s="191"/>
      <c r="K35" s="192"/>
      <c r="L35" s="192"/>
      <c r="N35" s="191"/>
      <c r="O35" s="191"/>
      <c r="P35" s="191"/>
    </row>
    <row r="36" spans="1:16" s="193" customFormat="1" ht="15.95" customHeight="1" x14ac:dyDescent="0.15">
      <c r="A36" s="192"/>
      <c r="B36" s="215"/>
      <c r="C36" s="215"/>
      <c r="D36" s="192"/>
      <c r="E36" s="294"/>
      <c r="F36" s="241"/>
      <c r="G36" s="241"/>
      <c r="H36" s="241"/>
      <c r="I36" s="191"/>
      <c r="K36" s="192"/>
      <c r="L36" s="192"/>
      <c r="N36" s="191"/>
      <c r="O36" s="191"/>
      <c r="P36" s="191"/>
    </row>
    <row r="37" spans="1:16" s="193" customFormat="1" ht="15.95" customHeight="1" x14ac:dyDescent="0.15">
      <c r="A37" s="192"/>
      <c r="B37" s="713" t="s">
        <v>713</v>
      </c>
      <c r="C37" s="714"/>
      <c r="D37" s="235" t="s">
        <v>714</v>
      </c>
      <c r="E37" s="243" t="s">
        <v>715</v>
      </c>
      <c r="F37" s="717" t="s">
        <v>549</v>
      </c>
      <c r="G37" s="718"/>
      <c r="J37" s="192"/>
      <c r="K37" s="192"/>
    </row>
    <row r="38" spans="1:16" s="193" customFormat="1" ht="15.95" customHeight="1" x14ac:dyDescent="0.15">
      <c r="A38" s="192"/>
      <c r="B38" s="728" t="s">
        <v>716</v>
      </c>
      <c r="C38" s="244" t="s">
        <v>717</v>
      </c>
      <c r="D38" s="245">
        <f>D174</f>
        <v>3.8585403221273347</v>
      </c>
      <c r="E38" s="246">
        <f>D176</f>
        <v>45.410296103448275</v>
      </c>
      <c r="F38" s="247">
        <f>D38/E38</f>
        <v>8.4970604757504162E-2</v>
      </c>
      <c r="G38" s="331" t="str">
        <f>IF(D38&lt;E38,"O.K.","N.G.")</f>
        <v>O.K.</v>
      </c>
      <c r="J38" s="192"/>
      <c r="K38" s="192"/>
    </row>
    <row r="39" spans="1:16" s="193" customFormat="1" ht="15.95" customHeight="1" x14ac:dyDescent="0.15">
      <c r="A39" s="192"/>
      <c r="B39" s="729"/>
      <c r="C39" s="244" t="s">
        <v>653</v>
      </c>
      <c r="D39" s="245">
        <f>D216</f>
        <v>0</v>
      </c>
      <c r="E39" s="246">
        <f>D218</f>
        <v>65.334717332000011</v>
      </c>
      <c r="F39" s="247">
        <f>D39/E39</f>
        <v>0</v>
      </c>
      <c r="G39" s="331" t="str">
        <f>IF(D39&lt;E39,"O.K.","N.G.")</f>
        <v>O.K.</v>
      </c>
      <c r="J39" s="192"/>
      <c r="K39" s="192"/>
      <c r="L39" s="192"/>
    </row>
    <row r="40" spans="1:16" s="193" customFormat="1" ht="15.95" customHeight="1" x14ac:dyDescent="0.15">
      <c r="A40" s="192"/>
      <c r="B40" s="730"/>
      <c r="C40" s="244" t="s">
        <v>718</v>
      </c>
      <c r="D40" s="731" t="s">
        <v>719</v>
      </c>
      <c r="E40" s="732"/>
      <c r="F40" s="247">
        <f>F38+F39</f>
        <v>8.4970604757504162E-2</v>
      </c>
      <c r="G40" s="331" t="str">
        <f>IF(F40&lt;1,"O.K.","N.G.")</f>
        <v>O.K.</v>
      </c>
      <c r="J40" s="192"/>
      <c r="K40" s="192"/>
      <c r="M40" s="722" t="s">
        <v>720</v>
      </c>
      <c r="N40" s="723"/>
      <c r="O40" s="201"/>
    </row>
    <row r="41" spans="1:16" s="193" customFormat="1" ht="15.95" customHeight="1" x14ac:dyDescent="0.2">
      <c r="A41" s="192"/>
      <c r="B41" s="249" t="s">
        <v>721</v>
      </c>
      <c r="C41" s="244" t="s">
        <v>717</v>
      </c>
      <c r="D41" s="250">
        <f>D14</f>
        <v>0.47228377811926775</v>
      </c>
      <c r="E41" s="253">
        <f>VLOOKUP(H20,M41:N42,2,0)</f>
        <v>1.5</v>
      </c>
      <c r="F41" s="247">
        <f>D41/E41</f>
        <v>0.31485585207951183</v>
      </c>
      <c r="G41" s="331" t="str">
        <f>IF(D41&lt;E41,"O.K.","N.G.")</f>
        <v>O.K.</v>
      </c>
      <c r="J41" s="192"/>
      <c r="K41" s="192"/>
      <c r="M41" s="251" t="s">
        <v>722</v>
      </c>
      <c r="N41" s="571">
        <v>1.5</v>
      </c>
      <c r="O41" s="201"/>
      <c r="P41" s="201"/>
    </row>
    <row r="42" spans="1:16" s="201" customFormat="1" ht="15.95" customHeight="1" x14ac:dyDescent="0.15">
      <c r="A42" s="192"/>
      <c r="B42" s="252" t="s">
        <v>690</v>
      </c>
      <c r="C42" s="244" t="s">
        <v>653</v>
      </c>
      <c r="D42" s="250">
        <f>D15</f>
        <v>0</v>
      </c>
      <c r="E42" s="253">
        <f>D259</f>
        <v>8.5714285714285712</v>
      </c>
      <c r="F42" s="247">
        <f>D42/E42</f>
        <v>0</v>
      </c>
      <c r="G42" s="331" t="str">
        <f>IF(D42&lt;E42,"O.K.","N.G.")</f>
        <v>O.K.</v>
      </c>
      <c r="J42" s="192"/>
      <c r="K42" s="192"/>
      <c r="M42" s="251" t="s">
        <v>723</v>
      </c>
      <c r="N42" s="571">
        <v>3</v>
      </c>
      <c r="O42" s="204" t="s">
        <v>724</v>
      </c>
    </row>
    <row r="43" spans="1:16" s="201" customFormat="1" ht="15.95" customHeight="1" x14ac:dyDescent="0.15">
      <c r="A43" s="192"/>
      <c r="B43" s="192"/>
      <c r="C43" s="192"/>
      <c r="D43" s="192"/>
      <c r="E43" s="192"/>
      <c r="F43" s="192"/>
      <c r="G43" s="192"/>
      <c r="H43" s="192"/>
      <c r="I43" s="192"/>
      <c r="J43" s="192"/>
      <c r="K43" s="192"/>
      <c r="L43" s="192"/>
      <c r="M43" s="205"/>
    </row>
    <row r="44" spans="1:16" s="201" customFormat="1" ht="15.95" customHeight="1" x14ac:dyDescent="0.15">
      <c r="A44" s="192"/>
      <c r="B44" s="192"/>
      <c r="C44" s="192"/>
      <c r="D44" s="192"/>
      <c r="E44" s="192"/>
      <c r="F44" s="192"/>
      <c r="G44" s="192"/>
      <c r="H44" s="192"/>
      <c r="I44" s="192"/>
      <c r="J44" s="192"/>
      <c r="K44" s="192"/>
      <c r="L44" s="192"/>
      <c r="M44" s="205"/>
    </row>
    <row r="45" spans="1:16" s="201" customFormat="1" ht="15.95" customHeight="1" x14ac:dyDescent="0.15">
      <c r="A45" s="192"/>
      <c r="B45" s="192"/>
      <c r="C45" s="192"/>
      <c r="D45" s="192"/>
      <c r="E45" s="192"/>
      <c r="F45" s="192"/>
      <c r="G45" s="192"/>
      <c r="H45" s="192"/>
      <c r="I45" s="192"/>
      <c r="J45" s="192"/>
      <c r="K45" s="192"/>
      <c r="L45" s="192"/>
      <c r="M45" s="205"/>
    </row>
    <row r="46" spans="1:16" s="201" customFormat="1" ht="15.95" customHeight="1" x14ac:dyDescent="0.15">
      <c r="A46" s="733" t="s">
        <v>1000</v>
      </c>
      <c r="B46" s="733"/>
      <c r="C46" s="733"/>
      <c r="D46" s="733"/>
      <c r="E46" s="733"/>
      <c r="F46" s="733"/>
      <c r="G46" s="733"/>
      <c r="H46" s="733"/>
      <c r="I46" s="733"/>
      <c r="J46" s="733"/>
      <c r="K46" s="733"/>
      <c r="L46" s="192"/>
      <c r="M46" s="205"/>
    </row>
    <row r="47" spans="1:16" s="201" customFormat="1" ht="15.95" hidden="1" customHeight="1" x14ac:dyDescent="0.15">
      <c r="B47" s="12" t="s">
        <v>725</v>
      </c>
    </row>
    <row r="48" spans="1:16" s="201" customFormat="1" ht="15.95" hidden="1" customHeight="1" x14ac:dyDescent="0.15"/>
    <row r="49" spans="1:18" s="201" customFormat="1" ht="15.95" hidden="1" customHeight="1" x14ac:dyDescent="0.15">
      <c r="B49" s="201" t="s">
        <v>726</v>
      </c>
    </row>
    <row r="50" spans="1:18" s="201" customFormat="1" ht="15.95" hidden="1" customHeight="1" x14ac:dyDescent="0.15"/>
    <row r="51" spans="1:18" s="201" customFormat="1" ht="15.95" hidden="1" customHeight="1" x14ac:dyDescent="0.15">
      <c r="B51" s="224" t="s">
        <v>727</v>
      </c>
      <c r="C51" s="223" t="s">
        <v>728</v>
      </c>
    </row>
    <row r="52" spans="1:18" s="201" customFormat="1" ht="15.95" hidden="1" customHeight="1" x14ac:dyDescent="0.15">
      <c r="A52" s="212"/>
      <c r="B52" s="224" t="s">
        <v>729</v>
      </c>
      <c r="C52" s="223" t="s">
        <v>730</v>
      </c>
    </row>
    <row r="53" spans="1:18" s="201" customFormat="1" ht="15.95" hidden="1" customHeight="1" x14ac:dyDescent="0.15">
      <c r="A53" s="212"/>
    </row>
    <row r="54" spans="1:18" s="201" customFormat="1" ht="15.95" hidden="1" customHeight="1" x14ac:dyDescent="0.15">
      <c r="A54" s="212"/>
    </row>
    <row r="55" spans="1:18" s="201" customFormat="1" ht="15.95" hidden="1" customHeight="1" x14ac:dyDescent="0.15">
      <c r="A55" s="212"/>
    </row>
    <row r="56" spans="1:18" s="201" customFormat="1" ht="15.95" hidden="1" customHeight="1" x14ac:dyDescent="0.15">
      <c r="A56" s="212"/>
    </row>
    <row r="57" spans="1:18" s="201" customFormat="1" ht="15.95" hidden="1" customHeight="1" x14ac:dyDescent="0.15">
      <c r="A57" s="212"/>
    </row>
    <row r="58" spans="1:18" s="201" customFormat="1" ht="15.95" hidden="1" customHeight="1" x14ac:dyDescent="0.15">
      <c r="A58" s="212"/>
    </row>
    <row r="59" spans="1:18" s="201" customFormat="1" ht="15.95" hidden="1" customHeight="1" x14ac:dyDescent="0.15">
      <c r="A59" s="212"/>
    </row>
    <row r="60" spans="1:18" s="201" customFormat="1" ht="15.95" hidden="1" customHeight="1" x14ac:dyDescent="0.15">
      <c r="A60" s="212"/>
    </row>
    <row r="61" spans="1:18" s="201" customFormat="1" ht="15.95" hidden="1" customHeight="1" x14ac:dyDescent="0.15">
      <c r="A61" s="212"/>
      <c r="B61" s="724" t="s">
        <v>731</v>
      </c>
      <c r="C61" s="724"/>
      <c r="D61" s="724"/>
      <c r="E61" s="202"/>
      <c r="G61" s="724" t="s">
        <v>732</v>
      </c>
      <c r="H61" s="724"/>
    </row>
    <row r="62" spans="1:18" s="201" customFormat="1" ht="15.95" hidden="1" customHeight="1" x14ac:dyDescent="0.15"/>
    <row r="63" spans="1:18" s="201" customFormat="1" ht="15.95" hidden="1" customHeight="1" x14ac:dyDescent="0.15"/>
    <row r="64" spans="1:18" s="201" customFormat="1" ht="15.95" hidden="1" customHeight="1" x14ac:dyDescent="0.15">
      <c r="A64" s="212"/>
      <c r="B64" s="209" t="s">
        <v>733</v>
      </c>
      <c r="Q64" s="208" t="s">
        <v>734</v>
      </c>
      <c r="R64" s="254">
        <v>9.8066499999999994</v>
      </c>
    </row>
    <row r="65" spans="1:18" s="201" customFormat="1" ht="15.95" hidden="1" customHeight="1" x14ac:dyDescent="0.15">
      <c r="N65" s="208" t="s">
        <v>735</v>
      </c>
      <c r="O65" s="255">
        <f>Q65*$R$64/10^9</f>
        <v>2.4516625E-5</v>
      </c>
      <c r="P65" s="213" t="s">
        <v>736</v>
      </c>
      <c r="Q65" s="256">
        <v>2500</v>
      </c>
      <c r="R65" s="213" t="s">
        <v>737</v>
      </c>
    </row>
    <row r="66" spans="1:18" s="201" customFormat="1" ht="15.95" hidden="1" customHeight="1" x14ac:dyDescent="0.15">
      <c r="B66" s="197" t="s">
        <v>738</v>
      </c>
      <c r="C66" s="193" t="s">
        <v>643</v>
      </c>
      <c r="D66" s="227">
        <f>D9</f>
        <v>1500</v>
      </c>
      <c r="E66" s="201" t="s">
        <v>479</v>
      </c>
      <c r="G66" s="197" t="s">
        <v>739</v>
      </c>
      <c r="H66" s="193" t="s">
        <v>643</v>
      </c>
      <c r="I66" s="258">
        <f>(VLOOKUP(D7,N74:O79,2)*O65*D67*D66/2)</f>
        <v>143.42225625</v>
      </c>
      <c r="J66" s="212" t="s">
        <v>740</v>
      </c>
      <c r="N66" s="208" t="s">
        <v>741</v>
      </c>
      <c r="O66" s="255">
        <f>Q66*$R$64/10^9</f>
        <v>2.6477954999999996E-5</v>
      </c>
      <c r="P66" s="213" t="s">
        <v>736</v>
      </c>
      <c r="Q66" s="256">
        <v>2700</v>
      </c>
      <c r="R66" s="213" t="s">
        <v>737</v>
      </c>
    </row>
    <row r="67" spans="1:18" s="201" customFormat="1" ht="15.95" hidden="1" customHeight="1" x14ac:dyDescent="0.15">
      <c r="B67" s="197" t="s">
        <v>742</v>
      </c>
      <c r="C67" s="193" t="s">
        <v>643</v>
      </c>
      <c r="D67" s="227">
        <f>D10</f>
        <v>650</v>
      </c>
      <c r="E67" s="201" t="s">
        <v>479</v>
      </c>
      <c r="G67" s="213" t="s">
        <v>743</v>
      </c>
      <c r="N67" s="208" t="s">
        <v>744</v>
      </c>
      <c r="O67" s="255">
        <f>Q67*$R$64/10^9</f>
        <v>7.6982202499999993E-5</v>
      </c>
      <c r="P67" s="213" t="s">
        <v>736</v>
      </c>
      <c r="Q67" s="257">
        <v>7850</v>
      </c>
      <c r="R67" s="213" t="s">
        <v>737</v>
      </c>
    </row>
    <row r="68" spans="1:18" s="201" customFormat="1" ht="15.95" hidden="1" customHeight="1" x14ac:dyDescent="0.15">
      <c r="B68" s="197" t="s">
        <v>701</v>
      </c>
      <c r="C68" s="193" t="s">
        <v>643</v>
      </c>
      <c r="D68" s="227">
        <f>D66/D8</f>
        <v>375</v>
      </c>
      <c r="E68" s="201" t="s">
        <v>479</v>
      </c>
      <c r="G68" s="197" t="s">
        <v>745</v>
      </c>
      <c r="H68" s="193" t="s">
        <v>643</v>
      </c>
      <c r="I68" s="198">
        <f>O69</f>
        <v>30.343736429999996</v>
      </c>
      <c r="J68" s="192" t="s">
        <v>740</v>
      </c>
      <c r="N68" s="208" t="s">
        <v>746</v>
      </c>
      <c r="O68" s="211">
        <f>D20</f>
        <v>764</v>
      </c>
      <c r="P68" s="201" t="s">
        <v>747</v>
      </c>
    </row>
    <row r="69" spans="1:18" s="201" customFormat="1" ht="15.95" hidden="1" customHeight="1" x14ac:dyDescent="0.15">
      <c r="B69" s="197" t="s">
        <v>656</v>
      </c>
      <c r="C69" s="193" t="s">
        <v>643</v>
      </c>
      <c r="D69" s="227">
        <f>D6</f>
        <v>69600</v>
      </c>
      <c r="E69" s="210" t="s">
        <v>657</v>
      </c>
      <c r="G69" s="213" t="s">
        <v>748</v>
      </c>
      <c r="N69" s="208" t="s">
        <v>749</v>
      </c>
      <c r="O69" s="211">
        <f>O66*O68*D66</f>
        <v>30.343736429999996</v>
      </c>
      <c r="P69" s="212" t="s">
        <v>740</v>
      </c>
    </row>
    <row r="70" spans="1:18" s="201" customFormat="1" ht="15.95" hidden="1" customHeight="1" x14ac:dyDescent="0.15">
      <c r="B70" s="197" t="s">
        <v>686</v>
      </c>
      <c r="C70" s="193" t="s">
        <v>643</v>
      </c>
      <c r="D70" s="227">
        <f>D21</f>
        <v>462398.66666666663</v>
      </c>
      <c r="E70" s="201" t="s">
        <v>750</v>
      </c>
      <c r="G70" s="197" t="s">
        <v>751</v>
      </c>
      <c r="H70" s="193" t="s">
        <v>643</v>
      </c>
      <c r="I70" s="197" t="s">
        <v>752</v>
      </c>
      <c r="O70" s="208"/>
      <c r="P70" s="226"/>
    </row>
    <row r="71" spans="1:18" s="201" customFormat="1" ht="15.95" hidden="1" customHeight="1" x14ac:dyDescent="0.15">
      <c r="G71" s="197"/>
      <c r="H71" s="193" t="s">
        <v>643</v>
      </c>
      <c r="I71" s="258">
        <f>I68/D66</f>
        <v>2.0229157619999997E-2</v>
      </c>
      <c r="J71" s="192" t="s">
        <v>753</v>
      </c>
      <c r="O71" s="208"/>
      <c r="P71" s="226"/>
      <c r="Q71" s="212"/>
    </row>
    <row r="72" spans="1:18" s="201" customFormat="1" ht="15.95" hidden="1" customHeight="1" x14ac:dyDescent="0.15"/>
    <row r="73" spans="1:18" s="201" customFormat="1" ht="15.95" hidden="1" customHeight="1" x14ac:dyDescent="0.15">
      <c r="N73" s="208" t="s">
        <v>754</v>
      </c>
      <c r="O73" s="205" t="s">
        <v>755</v>
      </c>
      <c r="P73" s="201" t="s">
        <v>756</v>
      </c>
      <c r="Q73" s="213" t="s">
        <v>757</v>
      </c>
      <c r="R73" s="208" t="s">
        <v>758</v>
      </c>
    </row>
    <row r="74" spans="1:18" s="201" customFormat="1" ht="15.95" hidden="1" customHeight="1" x14ac:dyDescent="0.15">
      <c r="B74" s="209" t="s">
        <v>622</v>
      </c>
      <c r="N74" s="201">
        <v>12</v>
      </c>
      <c r="O74" s="259">
        <v>6</v>
      </c>
      <c r="P74" s="201" t="s">
        <v>759</v>
      </c>
      <c r="Q74" s="220">
        <f>R74*$R$64</f>
        <v>147.09975</v>
      </c>
      <c r="R74" s="220">
        <f>$Q$65*(O74/10^3)</f>
        <v>15</v>
      </c>
    </row>
    <row r="75" spans="1:18" s="201" customFormat="1" ht="15.95" hidden="1" customHeight="1" x14ac:dyDescent="0.15">
      <c r="A75" s="212"/>
      <c r="N75" s="201">
        <v>16</v>
      </c>
      <c r="O75" s="259">
        <v>10</v>
      </c>
      <c r="P75" s="201" t="s">
        <v>760</v>
      </c>
      <c r="Q75" s="220">
        <f t="shared" ref="Q75:Q79" si="0">R75*$R$64</f>
        <v>245.16624999999999</v>
      </c>
      <c r="R75" s="220">
        <f t="shared" ref="R75:R79" si="1">$Q$65*(O75/10^3)</f>
        <v>25</v>
      </c>
    </row>
    <row r="76" spans="1:18" s="201" customFormat="1" ht="15.95" hidden="1" customHeight="1" x14ac:dyDescent="0.15">
      <c r="B76" s="197" t="s">
        <v>761</v>
      </c>
      <c r="C76" s="193" t="s">
        <v>643</v>
      </c>
      <c r="D76" s="197" t="s">
        <v>762</v>
      </c>
      <c r="E76" s="193"/>
      <c r="G76" s="197" t="s">
        <v>763</v>
      </c>
      <c r="H76" s="193" t="s">
        <v>643</v>
      </c>
      <c r="I76" s="197" t="s">
        <v>764</v>
      </c>
      <c r="J76" s="193"/>
      <c r="N76" s="201">
        <v>18</v>
      </c>
      <c r="O76" s="259">
        <v>12</v>
      </c>
      <c r="P76" s="201" t="s">
        <v>765</v>
      </c>
      <c r="Q76" s="220">
        <f t="shared" si="0"/>
        <v>294.1995</v>
      </c>
      <c r="R76" s="220">
        <f t="shared" si="1"/>
        <v>30</v>
      </c>
    </row>
    <row r="77" spans="1:18" s="201" customFormat="1" ht="15.95" hidden="1" customHeight="1" x14ac:dyDescent="0.15">
      <c r="B77" s="197"/>
      <c r="C77" s="193" t="s">
        <v>643</v>
      </c>
      <c r="D77" s="197" t="s">
        <v>739</v>
      </c>
      <c r="E77" s="193"/>
      <c r="F77" s="197"/>
      <c r="G77" s="197"/>
      <c r="H77" s="193" t="s">
        <v>643</v>
      </c>
      <c r="I77" s="197" t="s">
        <v>766</v>
      </c>
      <c r="J77" s="193"/>
      <c r="N77" s="201">
        <v>22</v>
      </c>
      <c r="O77" s="259">
        <v>10</v>
      </c>
      <c r="P77" s="201" t="s">
        <v>767</v>
      </c>
      <c r="Q77" s="220">
        <f t="shared" si="0"/>
        <v>245.16624999999999</v>
      </c>
      <c r="R77" s="220">
        <f t="shared" si="1"/>
        <v>25</v>
      </c>
    </row>
    <row r="78" spans="1:18" s="201" customFormat="1" ht="15.95" hidden="1" customHeight="1" x14ac:dyDescent="0.15">
      <c r="B78" s="197"/>
      <c r="C78" s="193" t="s">
        <v>643</v>
      </c>
      <c r="D78" s="227">
        <f>I66</f>
        <v>143.42225625</v>
      </c>
      <c r="E78" s="201" t="s">
        <v>740</v>
      </c>
      <c r="F78" s="197"/>
      <c r="G78" s="197"/>
      <c r="H78" s="193" t="s">
        <v>643</v>
      </c>
      <c r="I78" s="198">
        <f>(I71*D66)/2</f>
        <v>15.171868214999998</v>
      </c>
      <c r="J78" s="201" t="s">
        <v>740</v>
      </c>
      <c r="N78" s="201">
        <v>24</v>
      </c>
      <c r="O78" s="259">
        <v>12</v>
      </c>
      <c r="P78" s="201" t="s">
        <v>768</v>
      </c>
      <c r="Q78" s="220">
        <f t="shared" si="0"/>
        <v>294.1995</v>
      </c>
      <c r="R78" s="220">
        <f t="shared" si="1"/>
        <v>30</v>
      </c>
    </row>
    <row r="79" spans="1:18" s="201" customFormat="1" ht="15.95" hidden="1" customHeight="1" x14ac:dyDescent="0.15">
      <c r="B79" s="197"/>
      <c r="C79" s="193"/>
      <c r="D79" s="191"/>
      <c r="F79" s="197"/>
      <c r="G79" s="197"/>
      <c r="H79" s="193"/>
      <c r="I79" s="200"/>
      <c r="N79" s="201">
        <v>28</v>
      </c>
      <c r="O79" s="259">
        <v>16</v>
      </c>
      <c r="P79" s="201" t="s">
        <v>769</v>
      </c>
      <c r="Q79" s="220">
        <f t="shared" si="0"/>
        <v>392.26599999999996</v>
      </c>
      <c r="R79" s="220">
        <f t="shared" si="1"/>
        <v>40</v>
      </c>
    </row>
    <row r="80" spans="1:18" s="201" customFormat="1" ht="15.95" hidden="1" customHeight="1" x14ac:dyDescent="0.15">
      <c r="B80" s="197" t="s">
        <v>770</v>
      </c>
      <c r="C80" s="193" t="s">
        <v>643</v>
      </c>
      <c r="D80" s="197" t="s">
        <v>771</v>
      </c>
      <c r="E80" s="193"/>
      <c r="G80" s="197" t="s">
        <v>772</v>
      </c>
      <c r="H80" s="193" t="s">
        <v>643</v>
      </c>
      <c r="I80" s="197" t="s">
        <v>773</v>
      </c>
      <c r="J80" s="193"/>
      <c r="L80" s="260"/>
      <c r="M80" s="212"/>
      <c r="N80" s="260"/>
      <c r="O80" s="213"/>
    </row>
    <row r="81" spans="2:15" s="201" customFormat="1" ht="15.95" hidden="1" customHeight="1" x14ac:dyDescent="0.15">
      <c r="B81" s="197"/>
      <c r="C81" s="193" t="s">
        <v>643</v>
      </c>
      <c r="D81" s="227">
        <f>I66*D68</f>
        <v>53783.346093749999</v>
      </c>
      <c r="E81" s="212" t="s">
        <v>774</v>
      </c>
      <c r="G81" s="197"/>
      <c r="H81" s="193" t="s">
        <v>643</v>
      </c>
      <c r="I81" s="227">
        <f>(I71*D66^2)/8</f>
        <v>5689.450580624999</v>
      </c>
      <c r="J81" s="212" t="s">
        <v>774</v>
      </c>
      <c r="L81" s="260"/>
      <c r="M81" s="212"/>
      <c r="N81" s="260"/>
      <c r="O81" s="213"/>
    </row>
    <row r="82" spans="2:15" s="201" customFormat="1" ht="15.95" hidden="1" customHeight="1" x14ac:dyDescent="0.15">
      <c r="B82" s="197"/>
      <c r="C82" s="193"/>
      <c r="D82" s="220"/>
      <c r="E82" s="212"/>
      <c r="G82" s="197"/>
      <c r="H82" s="193"/>
      <c r="I82" s="197"/>
      <c r="J82" s="193"/>
      <c r="L82" s="260"/>
      <c r="M82" s="212"/>
      <c r="N82" s="260"/>
      <c r="O82" s="213"/>
    </row>
    <row r="83" spans="2:15" s="201" customFormat="1" ht="15.95" hidden="1" customHeight="1" x14ac:dyDescent="0.15">
      <c r="B83" s="197" t="s">
        <v>671</v>
      </c>
      <c r="C83" s="193" t="s">
        <v>643</v>
      </c>
      <c r="D83" s="202" t="s">
        <v>775</v>
      </c>
      <c r="G83" s="197"/>
      <c r="H83" s="193"/>
      <c r="I83" s="197"/>
      <c r="J83" s="193"/>
      <c r="L83" s="12"/>
      <c r="M83" s="175"/>
      <c r="N83" s="43"/>
      <c r="O83" s="213"/>
    </row>
    <row r="84" spans="2:15" s="201" customFormat="1" ht="15.95" hidden="1" customHeight="1" x14ac:dyDescent="0.15">
      <c r="C84" s="193" t="s">
        <v>643</v>
      </c>
      <c r="D84" s="261">
        <f>(D81+I81)</f>
        <v>59472.796674375</v>
      </c>
      <c r="E84" s="212" t="s">
        <v>882</v>
      </c>
      <c r="G84" s="197"/>
      <c r="H84" s="193"/>
      <c r="I84" s="197"/>
      <c r="J84" s="193"/>
      <c r="L84" s="12"/>
      <c r="M84" s="334"/>
      <c r="N84" s="12"/>
      <c r="O84" s="213"/>
    </row>
    <row r="85" spans="2:15" s="201" customFormat="1" ht="15.95" hidden="1" customHeight="1" x14ac:dyDescent="0.15">
      <c r="B85" s="197"/>
      <c r="C85" s="193"/>
      <c r="D85" s="220"/>
      <c r="E85" s="212"/>
      <c r="G85" s="197"/>
      <c r="H85" s="193"/>
      <c r="I85" s="197"/>
      <c r="J85" s="193"/>
      <c r="L85" s="260"/>
      <c r="M85" s="212"/>
      <c r="N85" s="260"/>
      <c r="O85" s="213"/>
    </row>
    <row r="86" spans="2:15" s="201" customFormat="1" ht="15.95" hidden="1" customHeight="1" x14ac:dyDescent="0.15">
      <c r="B86" s="197" t="s">
        <v>776</v>
      </c>
      <c r="C86" s="193" t="s">
        <v>643</v>
      </c>
      <c r="D86" s="197" t="s">
        <v>777</v>
      </c>
      <c r="F86" s="213"/>
      <c r="G86" s="197" t="s">
        <v>778</v>
      </c>
      <c r="H86" s="193" t="s">
        <v>643</v>
      </c>
      <c r="I86" s="197" t="s">
        <v>779</v>
      </c>
      <c r="L86" s="260"/>
    </row>
    <row r="87" spans="2:15" s="201" customFormat="1" ht="15.95" hidden="1" customHeight="1" x14ac:dyDescent="0.15">
      <c r="C87" s="193" t="s">
        <v>643</v>
      </c>
      <c r="D87" s="191">
        <f>D81*(3*D66^2-4*D68^2)/(24*D69*D70)</f>
        <v>0.43084987924272283</v>
      </c>
      <c r="E87" s="212" t="s">
        <v>479</v>
      </c>
      <c r="H87" s="193" t="s">
        <v>643</v>
      </c>
      <c r="I87" s="191">
        <f>(5*I71*D66^4)/(384*D69*D70)</f>
        <v>4.1433898876544917E-2</v>
      </c>
      <c r="J87" s="212" t="s">
        <v>479</v>
      </c>
      <c r="L87" s="208"/>
    </row>
    <row r="88" spans="2:15" s="201" customFormat="1" ht="15.95" hidden="1" customHeight="1" x14ac:dyDescent="0.15">
      <c r="D88" s="225"/>
      <c r="E88" s="208"/>
      <c r="F88" s="213"/>
      <c r="J88" s="262"/>
      <c r="K88" s="208"/>
    </row>
    <row r="89" spans="2:15" s="201" customFormat="1" ht="15.95" hidden="1" customHeight="1" x14ac:dyDescent="0.15">
      <c r="B89" s="197" t="s">
        <v>675</v>
      </c>
      <c r="C89" s="193" t="s">
        <v>643</v>
      </c>
      <c r="D89" s="197" t="s">
        <v>780</v>
      </c>
      <c r="L89" s="12"/>
      <c r="M89" s="332"/>
      <c r="N89" s="43"/>
    </row>
    <row r="90" spans="2:15" s="201" customFormat="1" ht="15.95" hidden="1" customHeight="1" x14ac:dyDescent="0.15">
      <c r="C90" s="193" t="s">
        <v>643</v>
      </c>
      <c r="D90" s="263">
        <f>D87+I87</f>
        <v>0.47228377811926775</v>
      </c>
      <c r="E90" s="212" t="s">
        <v>479</v>
      </c>
      <c r="L90" s="12"/>
      <c r="M90" s="334"/>
      <c r="N90" s="12"/>
    </row>
    <row r="91" spans="2:15" s="201" customFormat="1" ht="15.95" hidden="1" customHeight="1" x14ac:dyDescent="0.15">
      <c r="C91" s="193"/>
    </row>
    <row r="92" spans="2:15" s="201" customFormat="1" ht="15.95" hidden="1" customHeight="1" x14ac:dyDescent="0.15">
      <c r="C92" s="193"/>
    </row>
    <row r="93" spans="2:15" s="201" customFormat="1" ht="15.95" hidden="1" customHeight="1" x14ac:dyDescent="0.15">
      <c r="B93" s="201" t="s">
        <v>781</v>
      </c>
    </row>
    <row r="94" spans="2:15" s="201" customFormat="1" ht="15.95" hidden="1" customHeight="1" x14ac:dyDescent="0.15">
      <c r="B94" s="224"/>
    </row>
    <row r="95" spans="2:15" s="201" customFormat="1" ht="15.95" hidden="1" customHeight="1" x14ac:dyDescent="0.15">
      <c r="B95" s="223" t="str">
        <f>IF(D103 &lt;&gt; 0, L102, "")</f>
        <v>( UPPER )</v>
      </c>
      <c r="C95" s="223" t="str">
        <f>IF(M102=1, L104,L105)</f>
        <v>·  Simpley Supported Beam W/ Uniformly Distributed Load, Decreasing @ Both Eeds</v>
      </c>
    </row>
    <row r="96" spans="2:15" s="201" customFormat="1" ht="15.95" hidden="1" customHeight="1" x14ac:dyDescent="0.15">
      <c r="B96" s="223" t="str">
        <f>IF(D104&lt;&gt;0, L103, "")</f>
        <v xml:space="preserve">( BOTTOM ) </v>
      </c>
      <c r="C96" s="223" t="str">
        <f>IF(D104=0, "", IF(M103=1, L104, L105))</f>
        <v>·  Simpley Supported Beam W/ Distributed Load Increasing Toward Center</v>
      </c>
    </row>
    <row r="97" spans="2:18" s="201" customFormat="1" ht="15.95" hidden="1" customHeight="1" x14ac:dyDescent="0.15"/>
    <row r="98" spans="2:18" s="201" customFormat="1" ht="15.95" hidden="1" customHeight="1" x14ac:dyDescent="0.15">
      <c r="B98" s="209" t="s">
        <v>733</v>
      </c>
      <c r="N98" s="264" t="s">
        <v>782</v>
      </c>
      <c r="O98" s="265" t="str">
        <f>HLOOKUP(P98,V278:Y279,2,FALSE)</f>
        <v>사다리+삼각</v>
      </c>
      <c r="P98" s="221">
        <f>VLOOKUP("TRUE", O99:P102, 2, FALSE)</f>
        <v>2</v>
      </c>
    </row>
    <row r="99" spans="2:18" s="201" customFormat="1" ht="15.95" hidden="1" customHeight="1" x14ac:dyDescent="0.15">
      <c r="G99" s="725"/>
      <c r="H99" s="725"/>
      <c r="I99" s="725"/>
      <c r="O99" s="266" t="b">
        <f>IF(AND(D102&lt;=D103, D102 &gt; D104),"TRUE", FALSE)</f>
        <v>0</v>
      </c>
      <c r="P99" s="266">
        <v>1</v>
      </c>
    </row>
    <row r="100" spans="2:18" s="201" customFormat="1" ht="15.95" hidden="1" customHeight="1" x14ac:dyDescent="0.15">
      <c r="B100" s="197" t="s">
        <v>653</v>
      </c>
      <c r="C100" s="193" t="s">
        <v>643</v>
      </c>
      <c r="D100" s="215">
        <f>ABS(D5)</f>
        <v>0</v>
      </c>
      <c r="E100" s="192" t="s">
        <v>654</v>
      </c>
      <c r="G100" s="725"/>
      <c r="H100" s="725"/>
      <c r="I100" s="725"/>
      <c r="O100" s="267" t="str">
        <f>IF(AND(D102&gt;D103, D102&lt;=D104), "TRUE")</f>
        <v>TRUE</v>
      </c>
      <c r="P100" s="267">
        <v>2</v>
      </c>
    </row>
    <row r="101" spans="2:18" s="201" customFormat="1" ht="15.95" hidden="1" customHeight="1" x14ac:dyDescent="0.15">
      <c r="B101" s="197"/>
      <c r="C101" s="193" t="s">
        <v>643</v>
      </c>
      <c r="D101" s="268">
        <f>D100/1000</f>
        <v>0</v>
      </c>
      <c r="E101" s="192" t="s">
        <v>645</v>
      </c>
      <c r="G101" s="725"/>
      <c r="H101" s="725"/>
      <c r="I101" s="725"/>
      <c r="O101" s="267" t="b">
        <f>IF(AND(D102&gt;D103, D102&gt;D104), "TRUE")</f>
        <v>0</v>
      </c>
      <c r="P101" s="267">
        <v>3</v>
      </c>
    </row>
    <row r="102" spans="2:18" s="201" customFormat="1" ht="15.95" hidden="1" customHeight="1" x14ac:dyDescent="0.15">
      <c r="B102" s="197" t="s">
        <v>738</v>
      </c>
      <c r="C102" s="193" t="s">
        <v>643</v>
      </c>
      <c r="D102" s="227">
        <f>D9</f>
        <v>1500</v>
      </c>
      <c r="E102" s="192" t="s">
        <v>644</v>
      </c>
      <c r="G102" s="725"/>
      <c r="H102" s="725"/>
      <c r="I102" s="725"/>
      <c r="L102" s="224" t="s">
        <v>783</v>
      </c>
      <c r="M102" s="205">
        <f>IF(D103&gt;=D102, 1, 2)</f>
        <v>2</v>
      </c>
      <c r="O102" s="267" t="b">
        <f>IF(AND(D102&lt;=D103, D102&lt;=D104), "TRUE")</f>
        <v>0</v>
      </c>
      <c r="P102" s="267">
        <v>4</v>
      </c>
    </row>
    <row r="103" spans="2:18" s="201" customFormat="1" ht="15.95" hidden="1" customHeight="1" x14ac:dyDescent="0.15">
      <c r="B103" s="197" t="s">
        <v>668</v>
      </c>
      <c r="C103" s="193" t="s">
        <v>643</v>
      </c>
      <c r="D103" s="227">
        <f>D10</f>
        <v>650</v>
      </c>
      <c r="E103" s="192" t="s">
        <v>644</v>
      </c>
      <c r="G103" s="725"/>
      <c r="H103" s="725"/>
      <c r="I103" s="725"/>
      <c r="L103" s="224" t="s">
        <v>784</v>
      </c>
      <c r="M103" s="205">
        <f>IF(D104&gt;=D102, 1, 2)</f>
        <v>1</v>
      </c>
    </row>
    <row r="104" spans="2:18" s="201" customFormat="1" ht="15.95" hidden="1" customHeight="1" x14ac:dyDescent="0.15">
      <c r="B104" s="197" t="s">
        <v>670</v>
      </c>
      <c r="C104" s="193" t="s">
        <v>643</v>
      </c>
      <c r="D104" s="227">
        <f>D11</f>
        <v>1700</v>
      </c>
      <c r="E104" s="192" t="s">
        <v>644</v>
      </c>
      <c r="G104" s="725"/>
      <c r="H104" s="725"/>
      <c r="I104" s="725"/>
      <c r="L104" s="224" t="s">
        <v>785</v>
      </c>
    </row>
    <row r="105" spans="2:18" s="201" customFormat="1" ht="15.95" hidden="1" customHeight="1" x14ac:dyDescent="0.15">
      <c r="B105" s="197" t="s">
        <v>656</v>
      </c>
      <c r="C105" s="193" t="s">
        <v>643</v>
      </c>
      <c r="D105" s="227">
        <f>D6</f>
        <v>69600</v>
      </c>
      <c r="E105" s="192" t="s">
        <v>657</v>
      </c>
      <c r="G105" s="725"/>
      <c r="H105" s="725"/>
      <c r="I105" s="725"/>
      <c r="L105" s="224" t="s">
        <v>786</v>
      </c>
    </row>
    <row r="106" spans="2:18" s="201" customFormat="1" ht="15.95" hidden="1" customHeight="1" x14ac:dyDescent="0.15">
      <c r="B106" s="197" t="s">
        <v>688</v>
      </c>
      <c r="C106" s="193" t="s">
        <v>643</v>
      </c>
      <c r="D106" s="227">
        <f>D22</f>
        <v>1671313.4310645724</v>
      </c>
      <c r="E106" s="201" t="s">
        <v>750</v>
      </c>
      <c r="G106" s="725"/>
      <c r="H106" s="725"/>
      <c r="I106" s="725"/>
    </row>
    <row r="107" spans="2:18" s="201" customFormat="1" ht="15.95" hidden="1" customHeight="1" x14ac:dyDescent="0.15">
      <c r="B107" s="197" t="s">
        <v>787</v>
      </c>
      <c r="C107" s="193" t="s">
        <v>643</v>
      </c>
      <c r="D107" s="197" t="str">
        <f>Q112</f>
        <v>W.L × a₁</v>
      </c>
      <c r="G107" s="725"/>
      <c r="H107" s="725"/>
      <c r="I107" s="725"/>
    </row>
    <row r="108" spans="2:18" s="201" customFormat="1" ht="15.95" hidden="1" customHeight="1" x14ac:dyDescent="0.15">
      <c r="B108" s="197"/>
      <c r="C108" s="193" t="s">
        <v>643</v>
      </c>
      <c r="D108" s="191">
        <f>Q111</f>
        <v>0</v>
      </c>
      <c r="E108" s="192" t="s">
        <v>753</v>
      </c>
      <c r="G108" s="725"/>
      <c r="H108" s="725"/>
      <c r="I108" s="725"/>
    </row>
    <row r="109" spans="2:18" s="201" customFormat="1" ht="15.95" hidden="1" customHeight="1" x14ac:dyDescent="0.15">
      <c r="B109" s="197" t="s">
        <v>788</v>
      </c>
      <c r="C109" s="193" t="s">
        <v>643</v>
      </c>
      <c r="D109" s="197" t="str">
        <f>Q114</f>
        <v>( W.L × L ) / 2</v>
      </c>
      <c r="G109" s="725"/>
      <c r="H109" s="725"/>
      <c r="I109" s="725"/>
    </row>
    <row r="110" spans="2:18" s="201" customFormat="1" ht="15.95" hidden="1" customHeight="1" x14ac:dyDescent="0.15">
      <c r="C110" s="193" t="s">
        <v>643</v>
      </c>
      <c r="D110" s="191">
        <f>Q113</f>
        <v>0</v>
      </c>
      <c r="E110" s="192" t="s">
        <v>753</v>
      </c>
      <c r="F110" s="346"/>
      <c r="G110" s="725"/>
      <c r="H110" s="725"/>
      <c r="I110" s="725"/>
    </row>
    <row r="111" spans="2:18" s="201" customFormat="1" ht="15.95" hidden="1" customHeight="1" x14ac:dyDescent="0.15">
      <c r="L111" s="330" t="s">
        <v>787</v>
      </c>
      <c r="M111" s="269" t="s">
        <v>789</v>
      </c>
      <c r="N111" s="270">
        <f>(D101*D102/2)</f>
        <v>0</v>
      </c>
      <c r="O111" s="271" t="s">
        <v>790</v>
      </c>
      <c r="Q111" s="272">
        <f>IF($D$103&gt;$D$102, N111, N112)</f>
        <v>0</v>
      </c>
      <c r="R111" s="273"/>
    </row>
    <row r="112" spans="2:18" s="201" customFormat="1" ht="15.95" hidden="1" customHeight="1" x14ac:dyDescent="0.15">
      <c r="B112" s="197" t="s">
        <v>791</v>
      </c>
      <c r="C112" s="193" t="s">
        <v>643</v>
      </c>
      <c r="D112" s="197" t="s">
        <v>792</v>
      </c>
      <c r="G112" s="197" t="s">
        <v>793</v>
      </c>
      <c r="H112" s="193" t="s">
        <v>643</v>
      </c>
      <c r="I112" s="197" t="s">
        <v>794</v>
      </c>
      <c r="L112" s="330"/>
      <c r="M112" s="269" t="s">
        <v>795</v>
      </c>
      <c r="N112" s="270">
        <f>D101*(D103/2)</f>
        <v>0</v>
      </c>
      <c r="O112" s="271" t="s">
        <v>796</v>
      </c>
      <c r="Q112" s="274" t="str">
        <f>IF($D$103&gt;=$D$102, O111, O112)</f>
        <v>W.L × a₁</v>
      </c>
      <c r="R112" s="273"/>
    </row>
    <row r="113" spans="2:21" s="201" customFormat="1" ht="15.95" hidden="1" customHeight="1" x14ac:dyDescent="0.15">
      <c r="B113" s="197"/>
      <c r="C113" s="193" t="s">
        <v>643</v>
      </c>
      <c r="D113" s="227">
        <f>D103/2</f>
        <v>325</v>
      </c>
      <c r="E113" s="192" t="s">
        <v>644</v>
      </c>
      <c r="G113" s="197"/>
      <c r="H113" s="193" t="s">
        <v>643</v>
      </c>
      <c r="I113" s="227">
        <f>D104/2</f>
        <v>850</v>
      </c>
      <c r="J113" s="192" t="s">
        <v>644</v>
      </c>
      <c r="L113" s="330" t="s">
        <v>788</v>
      </c>
      <c r="M113" s="269" t="s">
        <v>797</v>
      </c>
      <c r="N113" s="270">
        <f>(D101*D102/2)</f>
        <v>0</v>
      </c>
      <c r="O113" s="271" t="s">
        <v>790</v>
      </c>
      <c r="Q113" s="272">
        <f>IF($D$104&gt;$D$102, N113, N114)</f>
        <v>0</v>
      </c>
      <c r="R113" s="273"/>
    </row>
    <row r="114" spans="2:21" s="201" customFormat="1" ht="15.95" hidden="1" customHeight="1" x14ac:dyDescent="0.15">
      <c r="B114" s="197"/>
      <c r="C114" s="193"/>
      <c r="D114" s="220"/>
      <c r="G114" s="197"/>
      <c r="H114" s="193"/>
      <c r="I114" s="220"/>
      <c r="L114" s="197"/>
      <c r="M114" s="269" t="s">
        <v>798</v>
      </c>
      <c r="N114" s="270">
        <f>D101*(D104/2)</f>
        <v>0</v>
      </c>
      <c r="O114" s="271" t="s">
        <v>799</v>
      </c>
      <c r="Q114" s="274" t="str">
        <f>IF($D$104&gt;=$D$102, O113, O114)</f>
        <v>( W.L × L ) / 2</v>
      </c>
      <c r="R114" s="273"/>
    </row>
    <row r="115" spans="2:21" s="201" customFormat="1" ht="15.95" hidden="1" customHeight="1" x14ac:dyDescent="0.15">
      <c r="B115" s="209" t="s">
        <v>622</v>
      </c>
      <c r="Q115" s="275"/>
      <c r="R115" s="273"/>
    </row>
    <row r="116" spans="2:21" s="201" customFormat="1" ht="15.95" hidden="1" customHeight="1" x14ac:dyDescent="0.15">
      <c r="Q116" s="275"/>
      <c r="R116" s="273"/>
    </row>
    <row r="117" spans="2:21" s="201" customFormat="1" ht="15.95" hidden="1" customHeight="1" x14ac:dyDescent="0.15">
      <c r="B117" s="197" t="s">
        <v>761</v>
      </c>
      <c r="C117" s="193" t="s">
        <v>643</v>
      </c>
      <c r="D117" s="197" t="s">
        <v>762</v>
      </c>
      <c r="E117" s="193"/>
      <c r="G117" s="197" t="s">
        <v>763</v>
      </c>
      <c r="H117" s="193" t="s">
        <v>643</v>
      </c>
      <c r="I117" s="197" t="s">
        <v>764</v>
      </c>
      <c r="J117" s="193"/>
      <c r="L117" s="330" t="s">
        <v>761</v>
      </c>
      <c r="M117" s="269" t="s">
        <v>789</v>
      </c>
      <c r="N117" s="276">
        <f>(D108*D102)/4</f>
        <v>0</v>
      </c>
      <c r="O117" s="271" t="s">
        <v>800</v>
      </c>
      <c r="Q117" s="272">
        <f>IF($D$103&gt;$D$102, N117, N118)</f>
        <v>0</v>
      </c>
    </row>
    <row r="118" spans="2:21" s="201" customFormat="1" ht="15.95" hidden="1" customHeight="1" x14ac:dyDescent="0.15">
      <c r="B118" s="197"/>
      <c r="C118" s="193" t="s">
        <v>643</v>
      </c>
      <c r="D118" s="197" t="str">
        <f>Q118</f>
        <v>w₁ ( L - a₁ ) / 2</v>
      </c>
      <c r="E118" s="193"/>
      <c r="F118" s="197"/>
      <c r="G118" s="197"/>
      <c r="H118" s="193" t="s">
        <v>643</v>
      </c>
      <c r="I118" s="197" t="str">
        <f>Q120</f>
        <v>( w₂ × L ) / 4</v>
      </c>
      <c r="J118" s="193"/>
      <c r="L118" s="277"/>
      <c r="M118" s="269" t="s">
        <v>795</v>
      </c>
      <c r="N118" s="276">
        <f>(D108*(D102-D113)/2)</f>
        <v>0</v>
      </c>
      <c r="O118" s="271" t="s">
        <v>801</v>
      </c>
      <c r="Q118" s="274" t="str">
        <f>IF($D$103&gt;=$D$102, O117, O118)</f>
        <v>w₁ ( L - a₁ ) / 2</v>
      </c>
      <c r="R118" s="273"/>
    </row>
    <row r="119" spans="2:21" s="201" customFormat="1" ht="15.95" hidden="1" customHeight="1" x14ac:dyDescent="0.15">
      <c r="B119" s="197"/>
      <c r="C119" s="193" t="s">
        <v>643</v>
      </c>
      <c r="D119" s="227">
        <f>Q117</f>
        <v>0</v>
      </c>
      <c r="E119" s="212" t="s">
        <v>740</v>
      </c>
      <c r="F119" s="197"/>
      <c r="G119" s="197"/>
      <c r="H119" s="193" t="s">
        <v>643</v>
      </c>
      <c r="I119" s="227">
        <f>Q119</f>
        <v>0</v>
      </c>
      <c r="J119" s="212" t="s">
        <v>740</v>
      </c>
      <c r="L119" s="330" t="s">
        <v>763</v>
      </c>
      <c r="M119" s="269" t="s">
        <v>797</v>
      </c>
      <c r="N119" s="276">
        <f>(D110*D102)/4</f>
        <v>0</v>
      </c>
      <c r="O119" s="271" t="s">
        <v>802</v>
      </c>
      <c r="Q119" s="272">
        <f>IF($D$104&gt;$D$102, N119, N120)</f>
        <v>0</v>
      </c>
    </row>
    <row r="120" spans="2:21" s="201" customFormat="1" ht="15.95" hidden="1" customHeight="1" x14ac:dyDescent="0.15">
      <c r="B120" s="197"/>
      <c r="C120" s="193"/>
      <c r="D120" s="220"/>
      <c r="F120" s="197"/>
      <c r="G120" s="197"/>
      <c r="H120" s="193"/>
      <c r="I120" s="220"/>
      <c r="L120" s="212"/>
      <c r="M120" s="269" t="s">
        <v>798</v>
      </c>
      <c r="N120" s="276">
        <f>(D110*(D102-I113)/2)</f>
        <v>0</v>
      </c>
      <c r="O120" s="271" t="s">
        <v>803</v>
      </c>
      <c r="Q120" s="274" t="str">
        <f>IF($D$104&gt;=$D$102, O119, O120)</f>
        <v>( w₂ × L ) / 4</v>
      </c>
      <c r="R120" s="273"/>
    </row>
    <row r="121" spans="2:21" s="201" customFormat="1" ht="15.95" hidden="1" customHeight="1" x14ac:dyDescent="0.15">
      <c r="B121" s="197" t="s">
        <v>804</v>
      </c>
      <c r="C121" s="193" t="s">
        <v>643</v>
      </c>
      <c r="D121" s="197" t="s">
        <v>805</v>
      </c>
      <c r="F121" s="197"/>
      <c r="Q121" s="275"/>
      <c r="R121" s="273"/>
    </row>
    <row r="122" spans="2:21" s="201" customFormat="1" ht="15.95" hidden="1" customHeight="1" x14ac:dyDescent="0.15">
      <c r="B122" s="197"/>
      <c r="C122" s="193" t="s">
        <v>643</v>
      </c>
      <c r="D122" s="227">
        <f>D119+I119</f>
        <v>0</v>
      </c>
      <c r="E122" s="212" t="s">
        <v>740</v>
      </c>
      <c r="F122" s="197"/>
      <c r="L122" s="212"/>
      <c r="M122" s="196"/>
      <c r="Q122" s="275"/>
      <c r="R122" s="273"/>
    </row>
    <row r="123" spans="2:21" s="201" customFormat="1" ht="15.95" hidden="1" customHeight="1" x14ac:dyDescent="0.15">
      <c r="B123" s="197"/>
      <c r="C123" s="193"/>
      <c r="D123" s="197"/>
      <c r="E123" s="193"/>
      <c r="F123" s="197"/>
      <c r="L123" s="212"/>
      <c r="M123" s="277"/>
      <c r="N123" s="205"/>
      <c r="Q123" s="275"/>
      <c r="R123" s="273"/>
    </row>
    <row r="124" spans="2:21" s="201" customFormat="1" ht="15.95" hidden="1" customHeight="1" x14ac:dyDescent="0.15">
      <c r="B124" s="197" t="s">
        <v>806</v>
      </c>
      <c r="C124" s="193" t="s">
        <v>643</v>
      </c>
      <c r="D124" s="219" t="s">
        <v>807</v>
      </c>
      <c r="E124" s="193"/>
      <c r="G124" s="192"/>
      <c r="L124" s="12"/>
      <c r="M124" s="175"/>
      <c r="N124" s="43"/>
      <c r="Q124" s="275"/>
      <c r="R124" s="273"/>
    </row>
    <row r="125" spans="2:21" s="201" customFormat="1" ht="15.95" hidden="1" customHeight="1" x14ac:dyDescent="0.15">
      <c r="B125" s="197"/>
      <c r="C125" s="193" t="s">
        <v>643</v>
      </c>
      <c r="D125" s="197" t="s">
        <v>804</v>
      </c>
      <c r="E125" s="193"/>
      <c r="F125" s="197"/>
      <c r="L125" s="12"/>
      <c r="M125" s="334"/>
      <c r="N125" s="12"/>
      <c r="Q125" s="275"/>
      <c r="R125" s="273"/>
      <c r="S125" s="260"/>
      <c r="T125" s="212"/>
      <c r="U125" s="260"/>
    </row>
    <row r="126" spans="2:21" s="201" customFormat="1" ht="15.95" hidden="1" customHeight="1" x14ac:dyDescent="0.15">
      <c r="B126" s="197"/>
      <c r="C126" s="193" t="s">
        <v>643</v>
      </c>
      <c r="D126" s="227">
        <f>D122</f>
        <v>0</v>
      </c>
      <c r="E126" s="212" t="s">
        <v>740</v>
      </c>
      <c r="F126" s="197"/>
      <c r="L126" s="12"/>
      <c r="M126" s="332"/>
      <c r="N126" s="43"/>
      <c r="Q126" s="275"/>
      <c r="R126" s="273"/>
      <c r="S126" s="260"/>
    </row>
    <row r="127" spans="2:21" s="201" customFormat="1" ht="15.95" hidden="1" customHeight="1" x14ac:dyDescent="0.15">
      <c r="B127" s="197"/>
      <c r="C127" s="193"/>
      <c r="D127" s="219"/>
      <c r="E127" s="193"/>
      <c r="F127" s="197"/>
      <c r="L127" s="12"/>
      <c r="M127" s="334"/>
      <c r="N127" s="12"/>
      <c r="O127" s="212"/>
      <c r="Q127" s="275"/>
      <c r="R127" s="273"/>
      <c r="S127" s="208"/>
    </row>
    <row r="128" spans="2:21" s="201" customFormat="1" ht="15.95" hidden="1" customHeight="1" x14ac:dyDescent="0.15">
      <c r="B128" s="197" t="s">
        <v>808</v>
      </c>
      <c r="C128" s="193" t="s">
        <v>643</v>
      </c>
      <c r="D128" s="197" t="str">
        <f>Q129</f>
        <v>w₁ (  3L² - 4a₁² ) / 24</v>
      </c>
      <c r="E128" s="193"/>
      <c r="G128" s="197" t="s">
        <v>809</v>
      </c>
      <c r="H128" s="193" t="s">
        <v>643</v>
      </c>
      <c r="I128" s="197" t="str">
        <f>Q131</f>
        <v>( w₂ × L²  ) / 12</v>
      </c>
      <c r="J128" s="212"/>
      <c r="L128" s="330" t="s">
        <v>810</v>
      </c>
      <c r="M128" s="269" t="s">
        <v>789</v>
      </c>
      <c r="N128" s="278">
        <f>(D108*D102^2)/12</f>
        <v>0</v>
      </c>
      <c r="O128" s="279" t="s">
        <v>811</v>
      </c>
      <c r="Q128" s="272">
        <f>IF($D$103&gt;$D$102, N128, N129)</f>
        <v>0</v>
      </c>
    </row>
    <row r="129" spans="1:20" s="201" customFormat="1" ht="15.95" hidden="1" customHeight="1" x14ac:dyDescent="0.15">
      <c r="B129" s="197"/>
      <c r="C129" s="193" t="s">
        <v>643</v>
      </c>
      <c r="D129" s="227">
        <f>Q128</f>
        <v>0</v>
      </c>
      <c r="E129" s="192" t="s">
        <v>774</v>
      </c>
      <c r="G129" s="197"/>
      <c r="H129" s="193" t="s">
        <v>643</v>
      </c>
      <c r="I129" s="227">
        <f>Q130</f>
        <v>0</v>
      </c>
      <c r="J129" s="192" t="s">
        <v>774</v>
      </c>
      <c r="L129" s="277"/>
      <c r="M129" s="269" t="s">
        <v>795</v>
      </c>
      <c r="N129" s="278">
        <f>D108*(3*D102^2-4*D113^2)/24</f>
        <v>0</v>
      </c>
      <c r="O129" s="279" t="s">
        <v>812</v>
      </c>
      <c r="Q129" s="274" t="str">
        <f>IF($D$103&gt;=$D$102, O128, O129)</f>
        <v>w₁ (  3L² - 4a₁² ) / 24</v>
      </c>
      <c r="R129" s="273"/>
    </row>
    <row r="130" spans="1:20" s="201" customFormat="1" ht="15.95" hidden="1" customHeight="1" x14ac:dyDescent="0.15">
      <c r="B130" s="197"/>
      <c r="C130" s="193"/>
      <c r="D130" s="220"/>
      <c r="E130" s="212"/>
      <c r="L130" s="330" t="s">
        <v>813</v>
      </c>
      <c r="M130" s="269" t="s">
        <v>797</v>
      </c>
      <c r="N130" s="278">
        <f>(D110*D102^2)/12</f>
        <v>0</v>
      </c>
      <c r="O130" s="279" t="s">
        <v>814</v>
      </c>
      <c r="Q130" s="272">
        <f>IF($D$104&gt;$D$102, N130, N131)</f>
        <v>0</v>
      </c>
    </row>
    <row r="131" spans="1:20" s="201" customFormat="1" ht="15.95" hidden="1" customHeight="1" x14ac:dyDescent="0.15">
      <c r="B131" s="197" t="s">
        <v>674</v>
      </c>
      <c r="C131" s="193" t="s">
        <v>643</v>
      </c>
      <c r="D131" s="202" t="s">
        <v>1049</v>
      </c>
      <c r="E131" s="212"/>
      <c r="L131" s="212"/>
      <c r="M131" s="269" t="s">
        <v>798</v>
      </c>
      <c r="N131" s="278">
        <f>D110*(3*D102^2-4*I113^2)/24</f>
        <v>0</v>
      </c>
      <c r="O131" s="279" t="s">
        <v>815</v>
      </c>
      <c r="Q131" s="274" t="str">
        <f>IF($D$104&gt;=$D$102, O130, O131)</f>
        <v>( w₂ × L²  ) / 12</v>
      </c>
      <c r="R131" s="273"/>
    </row>
    <row r="132" spans="1:20" s="201" customFormat="1" ht="15.95" hidden="1" customHeight="1" x14ac:dyDescent="0.15">
      <c r="B132" s="197"/>
      <c r="C132" s="193" t="s">
        <v>643</v>
      </c>
      <c r="D132" s="261">
        <f>0.65*(D129+I129)</f>
        <v>0</v>
      </c>
      <c r="E132" s="212" t="s">
        <v>882</v>
      </c>
      <c r="L132" s="213"/>
      <c r="M132" s="277"/>
      <c r="N132" s="213"/>
      <c r="Q132" s="275"/>
      <c r="R132" s="273"/>
    </row>
    <row r="133" spans="1:20" s="201" customFormat="1" ht="15.95" hidden="1" customHeight="1" x14ac:dyDescent="0.15">
      <c r="B133" s="197"/>
      <c r="C133" s="193"/>
      <c r="D133" s="197"/>
      <c r="E133" s="193"/>
      <c r="M133" s="277"/>
      <c r="Q133" s="275"/>
      <c r="R133" s="273"/>
    </row>
    <row r="134" spans="1:20" s="201" customFormat="1" ht="15.95" hidden="1" customHeight="1" x14ac:dyDescent="0.15">
      <c r="B134" s="197" t="s">
        <v>816</v>
      </c>
      <c r="C134" s="193" t="s">
        <v>643</v>
      </c>
      <c r="D134" s="197" t="str">
        <f>Q135</f>
        <v>w₁ ( 5L² - 4a₁² )² / 1920EI</v>
      </c>
      <c r="F134" s="213"/>
      <c r="G134" s="197" t="s">
        <v>817</v>
      </c>
      <c r="H134" s="193" t="s">
        <v>643</v>
      </c>
      <c r="I134" s="197" t="str">
        <f>Q137</f>
        <v>( w₂× L⁴ ) / 120 EI</v>
      </c>
      <c r="L134" s="330" t="s">
        <v>810</v>
      </c>
      <c r="M134" s="269" t="s">
        <v>789</v>
      </c>
      <c r="N134" s="280">
        <f>(D108*D102^4)/(120*D105*D106)</f>
        <v>0</v>
      </c>
      <c r="O134" s="279" t="s">
        <v>818</v>
      </c>
      <c r="Q134" s="281">
        <f>IF($D$103&gt;$D$102, N134, N135)</f>
        <v>0</v>
      </c>
    </row>
    <row r="135" spans="1:20" s="201" customFormat="1" ht="15.95" hidden="1" customHeight="1" x14ac:dyDescent="0.15">
      <c r="C135" s="193" t="s">
        <v>643</v>
      </c>
      <c r="D135" s="191">
        <f>Q134</f>
        <v>0</v>
      </c>
      <c r="E135" s="192" t="s">
        <v>644</v>
      </c>
      <c r="H135" s="193" t="s">
        <v>643</v>
      </c>
      <c r="I135" s="191">
        <f>Q136</f>
        <v>0</v>
      </c>
      <c r="J135" s="192" t="s">
        <v>644</v>
      </c>
      <c r="L135" s="277"/>
      <c r="M135" s="269" t="s">
        <v>795</v>
      </c>
      <c r="N135" s="280">
        <f>D108*(5*D102^2-4*D113^2)^2/(1920*D105*D106)</f>
        <v>0</v>
      </c>
      <c r="O135" s="279" t="s">
        <v>819</v>
      </c>
      <c r="Q135" s="274" t="str">
        <f>IF($D$103&gt;=$D$102, O134, O135)</f>
        <v>w₁ ( 5L² - 4a₁² )² / 1920EI</v>
      </c>
      <c r="R135" s="273"/>
    </row>
    <row r="136" spans="1:20" s="201" customFormat="1" ht="15.95" hidden="1" customHeight="1" x14ac:dyDescent="0.15">
      <c r="C136" s="277"/>
      <c r="D136" s="258"/>
      <c r="I136" s="208"/>
      <c r="L136" s="330" t="s">
        <v>813</v>
      </c>
      <c r="M136" s="269" t="s">
        <v>797</v>
      </c>
      <c r="N136" s="280">
        <f>(D110*D102^4)/(120*D105*D106)</f>
        <v>0</v>
      </c>
      <c r="O136" s="279" t="s">
        <v>820</v>
      </c>
      <c r="Q136" s="281">
        <f>IF($D$104&gt;$D$102, N136, N137)</f>
        <v>0</v>
      </c>
    </row>
    <row r="137" spans="1:20" s="201" customFormat="1" ht="15.95" hidden="1" customHeight="1" x14ac:dyDescent="0.15">
      <c r="B137" s="197" t="s">
        <v>677</v>
      </c>
      <c r="C137" s="193" t="s">
        <v>643</v>
      </c>
      <c r="D137" s="197" t="s">
        <v>1050</v>
      </c>
      <c r="I137" s="208"/>
      <c r="L137" s="212"/>
      <c r="M137" s="269" t="s">
        <v>798</v>
      </c>
      <c r="N137" s="280">
        <f>D110*(5*D102^2-4*I113^2)^2/(1920*D105*D106)</f>
        <v>0</v>
      </c>
      <c r="O137" s="279" t="s">
        <v>821</v>
      </c>
      <c r="Q137" s="274" t="str">
        <f>IF($D$104&gt;=$D$102, O136, O137)</f>
        <v>( w₂× L⁴ ) / 120 EI</v>
      </c>
      <c r="R137" s="273"/>
    </row>
    <row r="138" spans="1:20" s="201" customFormat="1" ht="15.95" hidden="1" customHeight="1" x14ac:dyDescent="0.15">
      <c r="C138" s="193" t="s">
        <v>643</v>
      </c>
      <c r="D138" s="282">
        <f>0.65*(D135+I135)</f>
        <v>0</v>
      </c>
      <c r="E138" s="192" t="s">
        <v>644</v>
      </c>
      <c r="I138" s="208"/>
    </row>
    <row r="139" spans="1:20" s="201" customFormat="1" ht="15.95" hidden="1" customHeight="1" x14ac:dyDescent="0.15">
      <c r="A139" s="192"/>
      <c r="B139" s="19" t="s">
        <v>822</v>
      </c>
      <c r="C139" s="192"/>
      <c r="D139" s="192"/>
      <c r="E139" s="192"/>
      <c r="F139" s="192"/>
      <c r="G139" s="192"/>
      <c r="H139" s="192"/>
      <c r="I139" s="192"/>
      <c r="J139" s="192"/>
      <c r="K139" s="192"/>
      <c r="L139" s="192"/>
      <c r="M139" s="193"/>
      <c r="N139" s="193"/>
      <c r="O139" s="210"/>
    </row>
    <row r="140" spans="1:20" s="201" customFormat="1" ht="15.95" hidden="1" customHeight="1" x14ac:dyDescent="0.15">
      <c r="A140" s="192"/>
      <c r="B140" s="192"/>
      <c r="C140" s="192"/>
      <c r="D140" s="192"/>
      <c r="E140" s="192"/>
      <c r="F140" s="192"/>
      <c r="G140" s="192"/>
      <c r="H140" s="192"/>
      <c r="I140" s="192"/>
      <c r="J140" s="192"/>
      <c r="K140" s="192"/>
      <c r="L140" s="192"/>
      <c r="M140" s="284"/>
      <c r="N140" s="193"/>
      <c r="O140" s="210"/>
    </row>
    <row r="141" spans="1:20" s="201" customFormat="1" ht="15.95" hidden="1" customHeight="1" x14ac:dyDescent="0.15">
      <c r="A141" s="192"/>
      <c r="B141" s="201" t="s">
        <v>726</v>
      </c>
      <c r="C141" s="192"/>
      <c r="D141" s="192"/>
      <c r="E141" s="192"/>
      <c r="F141" s="192"/>
      <c r="G141" s="192"/>
      <c r="H141" s="192"/>
      <c r="I141" s="192"/>
      <c r="J141" s="192"/>
      <c r="K141" s="192"/>
      <c r="L141" s="295" t="s">
        <v>823</v>
      </c>
      <c r="M141" s="296">
        <f>$G$6</f>
        <v>5</v>
      </c>
      <c r="N141" s="284"/>
      <c r="O141" s="285"/>
    </row>
    <row r="142" spans="1:20" s="297" customFormat="1" ht="15.95" hidden="1" customHeight="1" x14ac:dyDescent="0.15">
      <c r="J142" s="298"/>
      <c r="K142" s="298"/>
      <c r="L142" s="192"/>
      <c r="M142" s="284"/>
      <c r="N142" s="284"/>
      <c r="O142" s="284"/>
    </row>
    <row r="143" spans="1:20" s="207" customFormat="1" ht="15.95" hidden="1" customHeight="1" x14ac:dyDescent="0.15">
      <c r="A143" s="201"/>
      <c r="B143" s="299" t="s">
        <v>824</v>
      </c>
      <c r="C143" s="299"/>
      <c r="G143" s="210" t="s">
        <v>825</v>
      </c>
      <c r="H143" s="345"/>
      <c r="I143" s="210"/>
      <c r="J143" s="199"/>
      <c r="K143" s="191"/>
      <c r="L143" s="191"/>
      <c r="M143" s="242" t="s">
        <v>826</v>
      </c>
      <c r="N143" s="300">
        <v>14</v>
      </c>
      <c r="O143" s="201"/>
      <c r="P143" s="297"/>
      <c r="Q143" s="297"/>
      <c r="R143" s="201"/>
      <c r="S143" s="297"/>
      <c r="T143" s="297"/>
    </row>
    <row r="144" spans="1:20" s="207" customFormat="1" ht="15.95" hidden="1" customHeight="1" x14ac:dyDescent="0.15">
      <c r="A144" s="191"/>
      <c r="B144" s="299"/>
      <c r="C144" s="191"/>
      <c r="D144" s="191"/>
      <c r="E144" s="191"/>
      <c r="F144" s="297"/>
      <c r="G144" s="284"/>
      <c r="H144" s="297"/>
      <c r="I144" s="191"/>
      <c r="J144" s="299"/>
      <c r="K144" s="191"/>
      <c r="L144" s="215" t="s">
        <v>823</v>
      </c>
      <c r="M144" s="301">
        <v>5</v>
      </c>
      <c r="N144" s="301">
        <v>6</v>
      </c>
      <c r="O144" s="297"/>
      <c r="P144" s="726" t="s">
        <v>827</v>
      </c>
      <c r="Q144" s="727"/>
      <c r="R144" s="719" t="s">
        <v>828</v>
      </c>
      <c r="S144" s="720"/>
      <c r="T144" s="721"/>
    </row>
    <row r="145" spans="1:20" s="207" customFormat="1" ht="15.95" hidden="1" customHeight="1" x14ac:dyDescent="0.15">
      <c r="A145" s="191"/>
      <c r="B145" s="329" t="s">
        <v>829</v>
      </c>
      <c r="C145" s="193" t="s">
        <v>643</v>
      </c>
      <c r="D145" s="227">
        <f>D9</f>
        <v>1500</v>
      </c>
      <c r="E145" s="191" t="s">
        <v>830</v>
      </c>
      <c r="F145" s="191"/>
      <c r="G145" s="302" t="s">
        <v>831</v>
      </c>
      <c r="H145" s="735" t="s">
        <v>295</v>
      </c>
      <c r="I145" s="736">
        <f>2*D145*D147/(SQRT(D146*D148))</f>
        <v>34.666018053174987</v>
      </c>
      <c r="K145" s="191"/>
      <c r="L145" s="191"/>
      <c r="M145" s="303">
        <v>0</v>
      </c>
      <c r="N145" s="303">
        <v>0</v>
      </c>
      <c r="O145" s="284" t="s">
        <v>832</v>
      </c>
      <c r="P145" s="304" t="s">
        <v>833</v>
      </c>
      <c r="Q145" s="305" t="s">
        <v>834</v>
      </c>
      <c r="R145" s="306">
        <v>1</v>
      </c>
      <c r="S145" s="307">
        <f>IF($G$6=5, M145, N145)</f>
        <v>0</v>
      </c>
      <c r="T145" s="305" t="str">
        <f>O145</f>
        <v>S  ≤  S₁</v>
      </c>
    </row>
    <row r="146" spans="1:20" s="207" customFormat="1" ht="15.95" hidden="1" customHeight="1" x14ac:dyDescent="0.15">
      <c r="A146" s="191"/>
      <c r="B146" s="329" t="s">
        <v>688</v>
      </c>
      <c r="C146" s="193" t="s">
        <v>643</v>
      </c>
      <c r="D146" s="227">
        <f>D22</f>
        <v>1671313.4310645724</v>
      </c>
      <c r="E146" s="191" t="s">
        <v>750</v>
      </c>
      <c r="F146" s="191"/>
      <c r="G146" s="308" t="s">
        <v>835</v>
      </c>
      <c r="H146" s="737"/>
      <c r="I146" s="738"/>
      <c r="J146" s="309"/>
      <c r="K146" s="191"/>
      <c r="L146" s="191"/>
      <c r="M146" s="310">
        <v>0</v>
      </c>
      <c r="N146" s="310">
        <v>0</v>
      </c>
      <c r="O146" s="284" t="s">
        <v>836</v>
      </c>
      <c r="P146" s="311">
        <f>IF($G$6=5, M146,N146)</f>
        <v>0</v>
      </c>
      <c r="Q146" s="312">
        <f>IF($G$6=5,M148,N148)</f>
        <v>3823</v>
      </c>
      <c r="R146" s="313">
        <v>2</v>
      </c>
      <c r="S146" s="314">
        <f>IF($G$6=5, M147, N147)</f>
        <v>10.087855015242745</v>
      </c>
      <c r="T146" s="315" t="str">
        <f>O147</f>
        <v>S₁&lt;  S  &lt; S₂</v>
      </c>
    </row>
    <row r="147" spans="1:20" s="207" customFormat="1" ht="15.95" hidden="1" customHeight="1" x14ac:dyDescent="0.15">
      <c r="B147" s="329" t="s">
        <v>693</v>
      </c>
      <c r="C147" s="193" t="s">
        <v>643</v>
      </c>
      <c r="D147" s="227">
        <f>D25</f>
        <v>15413.288888888888</v>
      </c>
      <c r="E147" s="191" t="s">
        <v>837</v>
      </c>
      <c r="G147" s="329" t="str">
        <f>T149</f>
        <v>S₁&lt;  S  &lt; S₂</v>
      </c>
      <c r="J147" s="191"/>
      <c r="K147" s="191"/>
      <c r="L147" s="191"/>
      <c r="M147" s="310">
        <f>10.5-0.07*SQRT(I145)</f>
        <v>10.087855015242745</v>
      </c>
      <c r="N147" s="310">
        <f>16.7-0.14*SQRT(I145)</f>
        <v>15.875710030485491</v>
      </c>
      <c r="O147" s="284" t="s">
        <v>838</v>
      </c>
      <c r="P147" s="316" t="s">
        <v>839</v>
      </c>
      <c r="Q147" s="317"/>
      <c r="R147" s="318">
        <v>3</v>
      </c>
      <c r="S147" s="319">
        <f>IF($G$6=5, M149, N149)</f>
        <v>680.75312150939749</v>
      </c>
      <c r="T147" s="312" t="str">
        <f>O149</f>
        <v>S  ≥  S₂</v>
      </c>
    </row>
    <row r="148" spans="1:20" s="207" customFormat="1" ht="15.95" hidden="1" customHeight="1" thickBot="1" x14ac:dyDescent="0.2">
      <c r="A148" s="191"/>
      <c r="B148" s="329" t="s">
        <v>697</v>
      </c>
      <c r="C148" s="193" t="s">
        <v>643</v>
      </c>
      <c r="D148" s="227">
        <f>D27</f>
        <v>1064553.0909090908</v>
      </c>
      <c r="E148" s="191" t="s">
        <v>750</v>
      </c>
      <c r="F148" s="215"/>
      <c r="H148" s="215"/>
      <c r="I148" s="191"/>
      <c r="J148" s="191"/>
      <c r="K148" s="191"/>
      <c r="L148" s="191"/>
      <c r="M148" s="310">
        <v>3823</v>
      </c>
      <c r="N148" s="310">
        <v>2400</v>
      </c>
      <c r="O148" s="284" t="s">
        <v>840</v>
      </c>
      <c r="P148" s="305" t="s">
        <v>841</v>
      </c>
      <c r="Q148" s="297"/>
      <c r="R148" s="297"/>
      <c r="S148" s="297"/>
      <c r="T148" s="297"/>
    </row>
    <row r="149" spans="1:20" s="207" customFormat="1" ht="15.95" hidden="1" customHeight="1" thickBot="1" x14ac:dyDescent="0.2">
      <c r="A149" s="191"/>
      <c r="B149" s="329" t="s">
        <v>842</v>
      </c>
      <c r="C149" s="193" t="s">
        <v>643</v>
      </c>
      <c r="D149" s="220">
        <f>S149</f>
        <v>10.087855015242745</v>
      </c>
      <c r="E149" s="191" t="s">
        <v>187</v>
      </c>
      <c r="F149" s="215"/>
      <c r="K149" s="191"/>
      <c r="L149" s="191"/>
      <c r="M149" s="320">
        <f>23599/I145</f>
        <v>680.75312150939749</v>
      </c>
      <c r="N149" s="320">
        <f>23599/I145</f>
        <v>680.75312150939749</v>
      </c>
      <c r="O149" s="284" t="s">
        <v>843</v>
      </c>
      <c r="P149" s="321">
        <f>I145</f>
        <v>34.666018053174987</v>
      </c>
      <c r="R149" s="322">
        <f>IF(P149&lt;=P146,1,IF(AND(P149&gt;P146,P149&lt;Q146),2,3))</f>
        <v>2</v>
      </c>
      <c r="S149" s="323">
        <f>VLOOKUP(R149, R145:S147, 2, FALSE)</f>
        <v>10.087855015242745</v>
      </c>
      <c r="T149" s="324" t="str">
        <f>VLOOKUP(R149,R145:T147, 3, FALSE)</f>
        <v>S₁&lt;  S  &lt; S₂</v>
      </c>
    </row>
    <row r="150" spans="1:20" s="207" customFormat="1" ht="15.95" hidden="1" customHeight="1" x14ac:dyDescent="0.15">
      <c r="A150" s="191"/>
      <c r="C150" s="193" t="s">
        <v>643</v>
      </c>
      <c r="D150" s="220">
        <f>D149*6.894757</f>
        <v>69.553308981330019</v>
      </c>
      <c r="E150" s="191" t="s">
        <v>645</v>
      </c>
      <c r="F150" s="215"/>
      <c r="G150" s="215"/>
      <c r="H150" s="215"/>
      <c r="I150" s="191"/>
      <c r="J150" s="191"/>
      <c r="K150" s="191"/>
      <c r="L150" s="191"/>
      <c r="P150" s="297"/>
      <c r="Q150" s="297"/>
      <c r="R150" s="297"/>
    </row>
    <row r="151" spans="1:20" s="297" customFormat="1" ht="15.95" hidden="1" customHeight="1" x14ac:dyDescent="0.15">
      <c r="A151" s="191"/>
      <c r="E151" s="215"/>
      <c r="F151" s="215"/>
      <c r="G151" s="215"/>
      <c r="H151" s="215"/>
      <c r="I151" s="191"/>
      <c r="J151" s="191"/>
      <c r="K151" s="191"/>
      <c r="L151" s="191"/>
      <c r="P151" s="207"/>
      <c r="Q151" s="207"/>
      <c r="R151" s="207"/>
    </row>
    <row r="152" spans="1:20" s="207" customFormat="1" ht="15.95" hidden="1" customHeight="1" x14ac:dyDescent="0.15">
      <c r="A152" s="191"/>
      <c r="B152" s="191"/>
      <c r="C152" s="191"/>
      <c r="D152" s="191"/>
      <c r="E152" s="191"/>
      <c r="F152" s="215"/>
      <c r="G152" s="191"/>
      <c r="H152" s="215"/>
      <c r="I152" s="191"/>
      <c r="J152" s="191"/>
      <c r="K152" s="191"/>
      <c r="L152" s="191"/>
    </row>
    <row r="153" spans="1:20" s="207" customFormat="1" ht="15.95" hidden="1" customHeight="1" x14ac:dyDescent="0.15">
      <c r="A153" s="201"/>
      <c r="B153" s="299" t="s">
        <v>844</v>
      </c>
      <c r="C153" s="299"/>
      <c r="D153" s="299"/>
      <c r="E153" s="299"/>
      <c r="G153" s="210" t="s">
        <v>845</v>
      </c>
      <c r="H153" s="345"/>
      <c r="I153" s="215"/>
      <c r="J153" s="199"/>
      <c r="K153" s="201"/>
      <c r="L153" s="191"/>
      <c r="M153" s="242" t="s">
        <v>826</v>
      </c>
      <c r="N153" s="300">
        <v>16</v>
      </c>
      <c r="O153" s="201"/>
      <c r="P153" s="297"/>
      <c r="Q153" s="297"/>
      <c r="R153" s="201"/>
      <c r="S153" s="297"/>
      <c r="T153" s="297"/>
    </row>
    <row r="154" spans="1:20" s="207" customFormat="1" ht="15.95" hidden="1" customHeight="1" x14ac:dyDescent="0.15">
      <c r="A154" s="201"/>
      <c r="B154" s="299"/>
      <c r="C154" s="299"/>
      <c r="D154" s="299"/>
      <c r="E154" s="299"/>
      <c r="F154" s="299"/>
      <c r="G154" s="299"/>
      <c r="H154" s="299"/>
      <c r="I154" s="201"/>
      <c r="J154" s="212"/>
      <c r="K154" s="201"/>
      <c r="L154" s="215" t="s">
        <v>823</v>
      </c>
      <c r="M154" s="301">
        <v>5</v>
      </c>
      <c r="N154" s="301">
        <v>6</v>
      </c>
      <c r="O154" s="297"/>
      <c r="P154" s="726" t="s">
        <v>827</v>
      </c>
      <c r="Q154" s="727"/>
      <c r="R154" s="719" t="s">
        <v>828</v>
      </c>
      <c r="S154" s="720"/>
      <c r="T154" s="721"/>
    </row>
    <row r="155" spans="1:20" s="207" customFormat="1" ht="15.95" hidden="1" customHeight="1" x14ac:dyDescent="0.15">
      <c r="A155" s="201"/>
      <c r="B155" s="329" t="s">
        <v>705</v>
      </c>
      <c r="C155" s="193" t="s">
        <v>643</v>
      </c>
      <c r="D155" s="220">
        <f>G34</f>
        <v>116</v>
      </c>
      <c r="E155" s="191" t="s">
        <v>830</v>
      </c>
      <c r="F155" s="191"/>
      <c r="G155" s="329" t="str">
        <f>T159</f>
        <v>S  ≥  S₂</v>
      </c>
      <c r="K155" s="201"/>
      <c r="L155" s="191"/>
      <c r="M155" s="303">
        <v>9.6999999999999993</v>
      </c>
      <c r="N155" s="303">
        <v>15.2</v>
      </c>
      <c r="O155" s="284" t="s">
        <v>832</v>
      </c>
      <c r="P155" s="304" t="s">
        <v>833</v>
      </c>
      <c r="Q155" s="305" t="s">
        <v>834</v>
      </c>
      <c r="R155" s="306">
        <v>1</v>
      </c>
      <c r="S155" s="307">
        <f>IF($G$6=5, M155, N155)</f>
        <v>9.6999999999999993</v>
      </c>
      <c r="T155" s="305" t="str">
        <f>O155</f>
        <v>S  ≤  S₁</v>
      </c>
    </row>
    <row r="156" spans="1:20" s="207" customFormat="1" ht="15.95" hidden="1" customHeight="1" x14ac:dyDescent="0.15">
      <c r="A156" s="201"/>
      <c r="B156" s="329" t="s">
        <v>703</v>
      </c>
      <c r="C156" s="193" t="s">
        <v>643</v>
      </c>
      <c r="D156" s="220">
        <f>D34</f>
        <v>2</v>
      </c>
      <c r="E156" s="191" t="s">
        <v>830</v>
      </c>
      <c r="F156" s="297"/>
      <c r="G156" s="191"/>
      <c r="H156" s="191"/>
      <c r="I156" s="201"/>
      <c r="J156" s="201"/>
      <c r="K156" s="220"/>
      <c r="L156" s="191"/>
      <c r="M156" s="310">
        <v>25.6</v>
      </c>
      <c r="N156" s="310">
        <v>22.8</v>
      </c>
      <c r="O156" s="284" t="s">
        <v>836</v>
      </c>
      <c r="P156" s="311">
        <f>IF($G$6=5, M156,N156)</f>
        <v>25.6</v>
      </c>
      <c r="Q156" s="312">
        <f>IF($G$6=5,M158,N158)</f>
        <v>50</v>
      </c>
      <c r="R156" s="313">
        <v>2</v>
      </c>
      <c r="S156" s="314">
        <f>IF($G$6=5, M157, N157)</f>
        <v>6.9860000000000007</v>
      </c>
      <c r="T156" s="315" t="str">
        <f>O157</f>
        <v>S₁&lt;  S  &lt; S₂</v>
      </c>
    </row>
    <row r="157" spans="1:20" s="207" customFormat="1" ht="15.95" hidden="1" customHeight="1" x14ac:dyDescent="0.15">
      <c r="A157" s="201"/>
      <c r="B157" s="329" t="s">
        <v>846</v>
      </c>
      <c r="C157" s="193" t="s">
        <v>643</v>
      </c>
      <c r="D157" s="220">
        <f>D155/D156</f>
        <v>58</v>
      </c>
      <c r="E157" s="191"/>
      <c r="F157" s="201"/>
      <c r="H157" s="201"/>
      <c r="I157" s="201"/>
      <c r="J157" s="201"/>
      <c r="K157" s="201"/>
      <c r="L157" s="191"/>
      <c r="M157" s="310">
        <f>11.8-0.083*D157</f>
        <v>6.9860000000000007</v>
      </c>
      <c r="N157" s="310">
        <f>19-0.17*(D157)</f>
        <v>9.1399999999999988</v>
      </c>
      <c r="O157" s="284" t="s">
        <v>838</v>
      </c>
      <c r="P157" s="316" t="s">
        <v>839</v>
      </c>
      <c r="Q157" s="317"/>
      <c r="R157" s="318">
        <v>3</v>
      </c>
      <c r="S157" s="319">
        <f>IF($G$6=5, M159, N159)</f>
        <v>6.5862068965517242</v>
      </c>
      <c r="T157" s="312" t="str">
        <f>O159</f>
        <v>S  ≥  S₂</v>
      </c>
    </row>
    <row r="158" spans="1:20" s="207" customFormat="1" ht="15.95" hidden="1" customHeight="1" thickBot="1" x14ac:dyDescent="0.2">
      <c r="A158" s="201"/>
      <c r="B158" s="329" t="s">
        <v>847</v>
      </c>
      <c r="C158" s="193" t="s">
        <v>643</v>
      </c>
      <c r="D158" s="220">
        <f>S159</f>
        <v>6.5862068965517242</v>
      </c>
      <c r="E158" s="191" t="s">
        <v>187</v>
      </c>
      <c r="F158" s="201"/>
      <c r="G158" s="201"/>
      <c r="H158" s="201"/>
      <c r="I158" s="201"/>
      <c r="J158" s="191"/>
      <c r="K158" s="201"/>
      <c r="L158" s="191"/>
      <c r="M158" s="310">
        <v>50</v>
      </c>
      <c r="N158" s="310">
        <v>39</v>
      </c>
      <c r="O158" s="284" t="s">
        <v>840</v>
      </c>
      <c r="P158" s="305" t="s">
        <v>841</v>
      </c>
      <c r="Q158" s="297"/>
      <c r="R158" s="297"/>
      <c r="S158" s="297"/>
      <c r="T158" s="297"/>
    </row>
    <row r="159" spans="1:20" s="297" customFormat="1" ht="15.95" hidden="1" customHeight="1" thickBot="1" x14ac:dyDescent="0.2">
      <c r="A159" s="201"/>
      <c r="B159" s="210"/>
      <c r="C159" s="193" t="s">
        <v>643</v>
      </c>
      <c r="D159" s="220">
        <f>D158*6.894757</f>
        <v>45.410296103448275</v>
      </c>
      <c r="E159" s="191" t="s">
        <v>645</v>
      </c>
      <c r="F159" s="201"/>
      <c r="G159" s="201"/>
      <c r="H159" s="201"/>
      <c r="I159" s="201"/>
      <c r="J159" s="191"/>
      <c r="K159" s="201"/>
      <c r="L159" s="191"/>
      <c r="M159" s="320">
        <f>382/D157</f>
        <v>6.5862068965517242</v>
      </c>
      <c r="N159" s="320">
        <f>484/D157</f>
        <v>8.3448275862068968</v>
      </c>
      <c r="O159" s="284" t="s">
        <v>843</v>
      </c>
      <c r="P159" s="321">
        <f>D157</f>
        <v>58</v>
      </c>
      <c r="Q159" s="325"/>
      <c r="R159" s="322">
        <f>IF(P159&lt;=P156,1,IF(AND(P159&gt;P156,P159&lt;Q156),2,3))</f>
        <v>3</v>
      </c>
      <c r="S159" s="323">
        <f>VLOOKUP(R159, R155:S157, 2, FALSE)</f>
        <v>6.5862068965517242</v>
      </c>
      <c r="T159" s="324" t="str">
        <f>VLOOKUP(R159,R155:T157, 3, FALSE)</f>
        <v>S  ≥  S₂</v>
      </c>
    </row>
    <row r="160" spans="1:20" s="297" customFormat="1" ht="15.95" hidden="1" customHeight="1" x14ac:dyDescent="0.15">
      <c r="A160" s="201"/>
      <c r="C160" s="208"/>
      <c r="D160" s="191"/>
      <c r="E160" s="191"/>
      <c r="F160" s="201"/>
      <c r="G160" s="201"/>
      <c r="H160" s="201"/>
      <c r="I160" s="201"/>
      <c r="J160" s="191"/>
      <c r="K160" s="201"/>
      <c r="L160" s="201"/>
    </row>
    <row r="161" spans="1:20" s="297" customFormat="1" ht="15.95" hidden="1" customHeight="1" x14ac:dyDescent="0.15">
      <c r="A161" s="201"/>
      <c r="C161" s="208"/>
      <c r="D161" s="191"/>
      <c r="E161" s="191"/>
      <c r="F161" s="201"/>
      <c r="G161" s="201"/>
      <c r="H161" s="201"/>
      <c r="I161" s="201"/>
      <c r="J161" s="191"/>
      <c r="K161" s="201"/>
      <c r="L161" s="201"/>
      <c r="M161" s="326"/>
      <c r="N161" s="298"/>
      <c r="O161" s="327"/>
    </row>
    <row r="162" spans="1:20" s="297" customFormat="1" ht="15.95" hidden="1" customHeight="1" x14ac:dyDescent="0.15">
      <c r="A162" s="201"/>
      <c r="B162" s="299" t="s">
        <v>844</v>
      </c>
      <c r="C162" s="299"/>
      <c r="D162" s="299"/>
      <c r="E162" s="299"/>
      <c r="F162" s="299"/>
      <c r="G162" s="210" t="s">
        <v>848</v>
      </c>
      <c r="H162" s="345"/>
      <c r="I162" s="201"/>
      <c r="J162" s="212"/>
      <c r="K162" s="201"/>
      <c r="L162" s="191"/>
      <c r="M162" s="242" t="s">
        <v>826</v>
      </c>
      <c r="N162" s="300">
        <v>18</v>
      </c>
      <c r="O162" s="201"/>
      <c r="R162" s="201"/>
    </row>
    <row r="163" spans="1:20" s="297" customFormat="1" ht="15.95" hidden="1" customHeight="1" x14ac:dyDescent="0.15">
      <c r="A163" s="201"/>
      <c r="B163" s="299"/>
      <c r="C163" s="299"/>
      <c r="D163" s="299"/>
      <c r="E163" s="299"/>
      <c r="F163" s="299"/>
      <c r="G163" s="299"/>
      <c r="H163" s="299"/>
      <c r="I163" s="201"/>
      <c r="J163" s="212"/>
      <c r="K163" s="201"/>
      <c r="L163" s="215" t="s">
        <v>823</v>
      </c>
      <c r="M163" s="301">
        <v>5</v>
      </c>
      <c r="N163" s="301">
        <v>6</v>
      </c>
      <c r="P163" s="726" t="s">
        <v>827</v>
      </c>
      <c r="Q163" s="727"/>
      <c r="R163" s="719" t="s">
        <v>828</v>
      </c>
      <c r="S163" s="720"/>
      <c r="T163" s="721"/>
    </row>
    <row r="164" spans="1:20" s="297" customFormat="1" ht="15.95" hidden="1" customHeight="1" x14ac:dyDescent="0.15">
      <c r="A164" s="201"/>
      <c r="B164" s="329" t="s">
        <v>849</v>
      </c>
      <c r="C164" s="193" t="s">
        <v>643</v>
      </c>
      <c r="D164" s="220">
        <f>G33</f>
        <v>56</v>
      </c>
      <c r="E164" s="191" t="s">
        <v>830</v>
      </c>
      <c r="F164" s="191"/>
      <c r="G164" s="329" t="str">
        <f>T168</f>
        <v>S  ≤  S₁</v>
      </c>
      <c r="K164" s="201"/>
      <c r="L164" s="191"/>
      <c r="M164" s="303">
        <v>12.6</v>
      </c>
      <c r="N164" s="303">
        <v>19.7</v>
      </c>
      <c r="O164" s="284" t="s">
        <v>832</v>
      </c>
      <c r="P164" s="304" t="s">
        <v>833</v>
      </c>
      <c r="Q164" s="305" t="s">
        <v>834</v>
      </c>
      <c r="R164" s="306">
        <v>1</v>
      </c>
      <c r="S164" s="307">
        <f>IF($G$6=5, M164, N164)</f>
        <v>12.6</v>
      </c>
      <c r="T164" s="305" t="str">
        <f>O164</f>
        <v>S  ≤  S₁</v>
      </c>
    </row>
    <row r="165" spans="1:20" s="297" customFormat="1" ht="15.95" hidden="1" customHeight="1" x14ac:dyDescent="0.15">
      <c r="A165" s="201"/>
      <c r="B165" s="329" t="s">
        <v>703</v>
      </c>
      <c r="C165" s="193" t="s">
        <v>643</v>
      </c>
      <c r="D165" s="220">
        <f>D33</f>
        <v>2</v>
      </c>
      <c r="E165" s="191" t="s">
        <v>830</v>
      </c>
      <c r="F165" s="191"/>
      <c r="H165" s="191"/>
      <c r="I165" s="201"/>
      <c r="J165" s="201"/>
      <c r="K165" s="220"/>
      <c r="L165" s="191"/>
      <c r="M165" s="310">
        <v>61</v>
      </c>
      <c r="N165" s="310">
        <v>54.9</v>
      </c>
      <c r="O165" s="284" t="s">
        <v>836</v>
      </c>
      <c r="P165" s="311">
        <f>IF($G$6=5, M165,N165)</f>
        <v>61</v>
      </c>
      <c r="Q165" s="312">
        <f>IF($G$6=5,M167,N167)</f>
        <v>115</v>
      </c>
      <c r="R165" s="313">
        <v>2</v>
      </c>
      <c r="S165" s="314">
        <f>IF($G$6=5, M166, N166)</f>
        <v>15.028000000000002</v>
      </c>
      <c r="T165" s="315" t="str">
        <f>O166</f>
        <v>S₁&lt;  S  &lt; S₂</v>
      </c>
    </row>
    <row r="166" spans="1:20" s="297" customFormat="1" ht="15.95" hidden="1" customHeight="1" x14ac:dyDescent="0.15">
      <c r="A166" s="201"/>
      <c r="B166" s="329" t="s">
        <v>850</v>
      </c>
      <c r="C166" s="193" t="s">
        <v>643</v>
      </c>
      <c r="D166" s="220">
        <f>D164/D165</f>
        <v>28</v>
      </c>
      <c r="E166" s="191"/>
      <c r="F166" s="201"/>
      <c r="H166" s="201"/>
      <c r="I166" s="201"/>
      <c r="J166" s="201"/>
      <c r="K166" s="201"/>
      <c r="L166" s="191"/>
      <c r="M166" s="310">
        <f>17.1-0.074*D166</f>
        <v>15.028000000000002</v>
      </c>
      <c r="N166" s="310">
        <f>27.9-0.15*(D166)</f>
        <v>23.7</v>
      </c>
      <c r="O166" s="284" t="s">
        <v>838</v>
      </c>
      <c r="P166" s="316" t="s">
        <v>839</v>
      </c>
      <c r="Q166" s="317"/>
      <c r="R166" s="318">
        <v>3</v>
      </c>
      <c r="S166" s="319">
        <f>IF($G$6=5, M168, N168)</f>
        <v>35.214285714285715</v>
      </c>
      <c r="T166" s="312" t="str">
        <f>O168</f>
        <v>S  ≥  S₂</v>
      </c>
    </row>
    <row r="167" spans="1:20" s="297" customFormat="1" ht="15.95" hidden="1" customHeight="1" thickBot="1" x14ac:dyDescent="0.2">
      <c r="A167" s="201"/>
      <c r="B167" s="329" t="s">
        <v>851</v>
      </c>
      <c r="C167" s="193" t="s">
        <v>643</v>
      </c>
      <c r="D167" s="220">
        <f>S168</f>
        <v>12.6</v>
      </c>
      <c r="E167" s="191" t="s">
        <v>187</v>
      </c>
      <c r="F167" s="201"/>
      <c r="G167" s="201"/>
      <c r="H167" s="201"/>
      <c r="I167" s="201"/>
      <c r="J167" s="191"/>
      <c r="K167" s="201"/>
      <c r="L167" s="191"/>
      <c r="M167" s="310">
        <v>115</v>
      </c>
      <c r="N167" s="310">
        <v>93</v>
      </c>
      <c r="O167" s="284" t="s">
        <v>840</v>
      </c>
      <c r="P167" s="305" t="s">
        <v>841</v>
      </c>
    </row>
    <row r="168" spans="1:20" s="297" customFormat="1" ht="15.95" hidden="1" customHeight="1" thickBot="1" x14ac:dyDescent="0.2">
      <c r="A168" s="201"/>
      <c r="B168" s="215"/>
      <c r="C168" s="193" t="s">
        <v>643</v>
      </c>
      <c r="D168" s="220">
        <f>D167*6.894757</f>
        <v>86.873938199999998</v>
      </c>
      <c r="E168" s="191" t="s">
        <v>645</v>
      </c>
      <c r="F168" s="201"/>
      <c r="G168" s="201"/>
      <c r="H168" s="201"/>
      <c r="I168" s="201"/>
      <c r="J168" s="201"/>
      <c r="K168" s="201"/>
      <c r="L168" s="191"/>
      <c r="M168" s="320">
        <f>986/D166</f>
        <v>35.214285714285715</v>
      </c>
      <c r="N168" s="320">
        <f>1298/D166</f>
        <v>46.357142857142854</v>
      </c>
      <c r="O168" s="284" t="s">
        <v>843</v>
      </c>
      <c r="P168" s="321">
        <f>D166</f>
        <v>28</v>
      </c>
      <c r="Q168" s="325"/>
      <c r="R168" s="322">
        <f>IF(P168&lt;=P165,1,IF(AND(P168&gt;P165,P168&lt;=Q165),2,3))</f>
        <v>1</v>
      </c>
      <c r="S168" s="323">
        <f>VLOOKUP(R168, R164:S166, 2, FALSE)</f>
        <v>12.6</v>
      </c>
      <c r="T168" s="324" t="str">
        <f>VLOOKUP(R168,R164:T166, 3, FALSE)</f>
        <v>S  ≤  S₁</v>
      </c>
    </row>
    <row r="169" spans="1:20" s="297" customFormat="1" ht="15.95" hidden="1" customHeight="1" x14ac:dyDescent="0.15">
      <c r="A169" s="191"/>
      <c r="B169" s="191"/>
      <c r="C169" s="191"/>
      <c r="D169" s="191"/>
      <c r="E169" s="191"/>
      <c r="F169" s="191"/>
      <c r="G169" s="191"/>
      <c r="H169" s="191"/>
      <c r="I169" s="191"/>
      <c r="J169" s="191"/>
      <c r="K169" s="191"/>
      <c r="L169" s="191"/>
      <c r="M169" s="284"/>
    </row>
    <row r="170" spans="1:20" s="297" customFormat="1" ht="15.95" hidden="1" customHeight="1" x14ac:dyDescent="0.15">
      <c r="A170" s="191"/>
      <c r="B170" s="191"/>
      <c r="C170" s="191"/>
      <c r="D170" s="191"/>
      <c r="E170" s="191"/>
      <c r="F170" s="191"/>
      <c r="G170" s="191"/>
      <c r="H170" s="191"/>
      <c r="I170" s="191"/>
      <c r="J170" s="191"/>
      <c r="K170" s="191"/>
      <c r="L170" s="191"/>
      <c r="M170" s="284"/>
    </row>
    <row r="171" spans="1:20" s="297" customFormat="1" ht="15.95" hidden="1" customHeight="1" x14ac:dyDescent="0.15">
      <c r="A171" s="191"/>
      <c r="B171" s="214" t="s">
        <v>852</v>
      </c>
      <c r="C171" s="191"/>
      <c r="D171" s="191"/>
      <c r="E171" s="210" t="s">
        <v>853</v>
      </c>
      <c r="F171" s="191" t="s">
        <v>854</v>
      </c>
      <c r="G171" s="191"/>
      <c r="H171" s="191"/>
      <c r="I171" s="191"/>
      <c r="J171" s="191"/>
      <c r="K171" s="191"/>
      <c r="L171" s="191"/>
      <c r="M171" s="284"/>
    </row>
    <row r="172" spans="1:20" s="297" customFormat="1" ht="15.95" hidden="1" customHeight="1" x14ac:dyDescent="0.15">
      <c r="A172" s="191"/>
      <c r="B172" s="214"/>
      <c r="C172" s="191"/>
      <c r="D172" s="191"/>
      <c r="E172" s="191"/>
      <c r="F172" s="191"/>
      <c r="G172" s="191"/>
      <c r="H172" s="191"/>
      <c r="I172" s="191"/>
      <c r="J172" s="191"/>
      <c r="K172" s="191"/>
      <c r="L172" s="191"/>
      <c r="M172" s="284"/>
    </row>
    <row r="173" spans="1:20" s="297" customFormat="1" ht="15.95" hidden="1" customHeight="1" x14ac:dyDescent="0.15">
      <c r="A173" s="191"/>
      <c r="B173" s="329" t="s">
        <v>855</v>
      </c>
      <c r="C173" s="193" t="s">
        <v>643</v>
      </c>
      <c r="D173" s="734" t="s">
        <v>856</v>
      </c>
      <c r="E173" s="734"/>
      <c r="F173" s="191"/>
      <c r="G173" s="191"/>
      <c r="H173" s="191"/>
      <c r="I173" s="191"/>
      <c r="J173" s="191"/>
      <c r="K173" s="191"/>
      <c r="L173" s="191"/>
      <c r="M173" s="191"/>
      <c r="N173" s="191"/>
      <c r="O173" s="191"/>
    </row>
    <row r="174" spans="1:20" s="297" customFormat="1" ht="15.95" hidden="1" customHeight="1" x14ac:dyDescent="0.15">
      <c r="A174" s="191"/>
      <c r="B174" s="215"/>
      <c r="C174" s="193" t="s">
        <v>643</v>
      </c>
      <c r="D174" s="220">
        <f>(D12)/D25</f>
        <v>3.8585403221273347</v>
      </c>
      <c r="E174" s="191" t="s">
        <v>645</v>
      </c>
      <c r="F174" s="191"/>
      <c r="G174" s="191"/>
      <c r="H174" s="191"/>
      <c r="I174" s="191"/>
      <c r="J174" s="191"/>
      <c r="K174" s="191"/>
      <c r="L174" s="191"/>
      <c r="M174" s="191"/>
      <c r="N174" s="191"/>
      <c r="O174" s="191"/>
    </row>
    <row r="175" spans="1:20" s="297" customFormat="1" ht="15.95" hidden="1" customHeight="1" x14ac:dyDescent="0.15">
      <c r="A175" s="191"/>
      <c r="B175" s="329" t="s">
        <v>857</v>
      </c>
      <c r="C175" s="193" t="s">
        <v>643</v>
      </c>
      <c r="D175" s="329" t="s">
        <v>858</v>
      </c>
      <c r="F175" s="210"/>
      <c r="H175" s="191"/>
      <c r="I175" s="191"/>
      <c r="J175" s="191"/>
      <c r="K175" s="191"/>
      <c r="L175" s="191"/>
      <c r="M175" s="191"/>
      <c r="N175" s="191"/>
      <c r="O175" s="191"/>
    </row>
    <row r="176" spans="1:20" s="297" customFormat="1" ht="15.95" hidden="1" customHeight="1" x14ac:dyDescent="0.15">
      <c r="A176" s="191"/>
      <c r="B176" s="210"/>
      <c r="C176" s="193" t="s">
        <v>643</v>
      </c>
      <c r="D176" s="328">
        <f>MIN(D150,D159,D168)</f>
        <v>45.410296103448275</v>
      </c>
      <c r="E176" s="191" t="s">
        <v>645</v>
      </c>
      <c r="F176" s="191"/>
      <c r="G176" s="215"/>
      <c r="H176" s="210"/>
      <c r="I176" s="215"/>
      <c r="J176" s="191"/>
      <c r="K176" s="191"/>
      <c r="L176" s="191"/>
      <c r="M176" s="191"/>
      <c r="N176" s="191"/>
      <c r="O176" s="191"/>
    </row>
    <row r="177" spans="1:20" s="297" customFormat="1" ht="15.95" hidden="1" customHeight="1" x14ac:dyDescent="0.15">
      <c r="A177" s="191"/>
      <c r="C177" s="193"/>
      <c r="F177" s="191"/>
      <c r="G177" s="191"/>
      <c r="H177" s="191"/>
      <c r="I177" s="191"/>
      <c r="J177" s="191"/>
      <c r="K177" s="191"/>
      <c r="L177" s="191"/>
      <c r="M177" s="191"/>
      <c r="N177" s="191"/>
      <c r="O177" s="191"/>
    </row>
    <row r="178" spans="1:20" s="201" customFormat="1" ht="15.95" hidden="1" customHeight="1" x14ac:dyDescent="0.15">
      <c r="F178" s="191"/>
      <c r="G178" s="191"/>
      <c r="H178" s="191"/>
      <c r="I178" s="191"/>
      <c r="J178" s="191"/>
      <c r="K178" s="191"/>
      <c r="L178" s="191"/>
      <c r="M178" s="191"/>
      <c r="N178" s="191"/>
      <c r="O178" s="191"/>
    </row>
    <row r="179" spans="1:20" s="201" customFormat="1" ht="15.95" hidden="1" customHeight="1" x14ac:dyDescent="0.15">
      <c r="B179" s="214" t="s">
        <v>859</v>
      </c>
      <c r="C179" s="191"/>
      <c r="E179" s="191"/>
      <c r="F179" s="191"/>
      <c r="G179" s="191"/>
      <c r="H179" s="191"/>
      <c r="I179" s="191"/>
      <c r="J179" s="191"/>
      <c r="K179" s="191"/>
      <c r="L179" s="191"/>
      <c r="M179" s="191"/>
      <c r="N179" s="191"/>
      <c r="O179" s="191"/>
    </row>
    <row r="180" spans="1:20" ht="15.95" hidden="1" customHeight="1" x14ac:dyDescent="0.15"/>
    <row r="181" spans="1:20" s="201" customFormat="1" ht="15.95" hidden="1" customHeight="1" x14ac:dyDescent="0.15">
      <c r="B181" s="329" t="s">
        <v>860</v>
      </c>
      <c r="C181" s="193" t="s">
        <v>643</v>
      </c>
      <c r="D181" s="215">
        <f>D174/D176</f>
        <v>8.4970604757504162E-2</v>
      </c>
      <c r="E181" s="216" t="str">
        <f>IF(D181&gt;F181,"&gt;","&lt;")</f>
        <v>&lt;</v>
      </c>
      <c r="F181" s="217">
        <v>1</v>
      </c>
      <c r="G181" s="218" t="str">
        <f>IF(D181&lt;F181,"O.K.","N.G.")</f>
        <v>O.K.</v>
      </c>
      <c r="J181" s="191"/>
      <c r="K181" s="191"/>
      <c r="L181" s="191"/>
      <c r="M181" s="205"/>
    </row>
    <row r="182" spans="1:20" s="201" customFormat="1" ht="15.95" hidden="1" customHeight="1" x14ac:dyDescent="0.15">
      <c r="A182" s="191"/>
      <c r="B182" s="286"/>
      <c r="C182" s="191"/>
      <c r="D182" s="210"/>
      <c r="E182" s="191"/>
      <c r="F182" s="191"/>
      <c r="H182" s="191"/>
      <c r="I182" s="191"/>
      <c r="J182" s="191"/>
      <c r="K182" s="191"/>
      <c r="L182" s="191"/>
      <c r="M182" s="205"/>
    </row>
    <row r="183" spans="1:20" s="201" customFormat="1" ht="15.95" hidden="1" customHeight="1" x14ac:dyDescent="0.15">
      <c r="A183" s="192"/>
      <c r="B183" s="192"/>
      <c r="C183" s="192"/>
      <c r="D183" s="192"/>
      <c r="E183" s="192"/>
      <c r="F183" s="241"/>
      <c r="G183" s="192"/>
      <c r="H183" s="192"/>
      <c r="I183" s="192"/>
      <c r="J183" s="192"/>
      <c r="K183" s="192"/>
      <c r="L183" s="192"/>
      <c r="M183" s="284"/>
    </row>
    <row r="184" spans="1:20" s="201" customFormat="1" ht="15.95" hidden="1" customHeight="1" x14ac:dyDescent="0.15">
      <c r="A184" s="192"/>
      <c r="B184" s="192"/>
      <c r="C184" s="192"/>
      <c r="D184" s="192"/>
      <c r="E184" s="192"/>
      <c r="F184" s="192"/>
      <c r="G184" s="192"/>
      <c r="H184" s="192"/>
      <c r="I184" s="192"/>
      <c r="J184" s="192"/>
      <c r="K184" s="192"/>
    </row>
    <row r="185" spans="1:20" s="201" customFormat="1" ht="15.95" hidden="1" customHeight="1" x14ac:dyDescent="0.15">
      <c r="A185" s="192"/>
      <c r="B185" s="201" t="s">
        <v>781</v>
      </c>
      <c r="C185" s="192"/>
      <c r="D185" s="192"/>
      <c r="E185" s="192"/>
      <c r="F185" s="192"/>
      <c r="G185" s="192"/>
      <c r="H185" s="192"/>
      <c r="I185" s="192"/>
      <c r="J185" s="192"/>
      <c r="K185" s="192"/>
      <c r="L185" s="295" t="s">
        <v>823</v>
      </c>
      <c r="M185" s="296">
        <f>$G$6</f>
        <v>5</v>
      </c>
      <c r="N185" s="284"/>
      <c r="O185" s="285"/>
    </row>
    <row r="186" spans="1:20" s="297" customFormat="1" ht="15.95" hidden="1" customHeight="1" x14ac:dyDescent="0.15">
      <c r="J186" s="298"/>
      <c r="K186" s="298"/>
      <c r="L186" s="298"/>
      <c r="M186" s="284"/>
      <c r="N186" s="284"/>
      <c r="O186" s="284"/>
    </row>
    <row r="187" spans="1:20" s="207" customFormat="1" ht="15.95" hidden="1" customHeight="1" x14ac:dyDescent="0.15">
      <c r="A187" s="201"/>
      <c r="B187" s="299" t="s">
        <v>824</v>
      </c>
      <c r="C187" s="299"/>
      <c r="G187" s="215" t="s">
        <v>825</v>
      </c>
      <c r="H187" s="345"/>
      <c r="I187" s="210"/>
      <c r="J187" s="199"/>
      <c r="K187" s="191"/>
      <c r="L187" s="191"/>
      <c r="M187" s="242" t="s">
        <v>826</v>
      </c>
      <c r="N187" s="300">
        <v>14</v>
      </c>
      <c r="O187" s="201"/>
      <c r="P187" s="297"/>
      <c r="Q187" s="297"/>
      <c r="R187" s="201"/>
      <c r="S187" s="297"/>
      <c r="T187" s="297"/>
    </row>
    <row r="188" spans="1:20" s="207" customFormat="1" ht="15.95" hidden="1" customHeight="1" x14ac:dyDescent="0.15">
      <c r="A188" s="191"/>
      <c r="B188" s="299"/>
      <c r="C188" s="191"/>
      <c r="D188" s="191"/>
      <c r="E188" s="191"/>
      <c r="F188" s="297"/>
      <c r="G188" s="284"/>
      <c r="H188" s="297"/>
      <c r="I188" s="191"/>
      <c r="J188" s="299"/>
      <c r="K188" s="191"/>
      <c r="L188" s="215" t="s">
        <v>823</v>
      </c>
      <c r="M188" s="301">
        <v>5</v>
      </c>
      <c r="N188" s="301">
        <v>6</v>
      </c>
      <c r="O188" s="297"/>
      <c r="P188" s="726" t="s">
        <v>827</v>
      </c>
      <c r="Q188" s="727"/>
      <c r="R188" s="719" t="s">
        <v>828</v>
      </c>
      <c r="S188" s="720"/>
      <c r="T188" s="721"/>
    </row>
    <row r="189" spans="1:20" s="207" customFormat="1" ht="15.95" hidden="1" customHeight="1" x14ac:dyDescent="0.15">
      <c r="A189" s="191"/>
      <c r="B189" s="329" t="s">
        <v>829</v>
      </c>
      <c r="C189" s="193" t="s">
        <v>643</v>
      </c>
      <c r="D189" s="227">
        <f>D9</f>
        <v>1500</v>
      </c>
      <c r="E189" s="191" t="s">
        <v>830</v>
      </c>
      <c r="F189" s="191"/>
      <c r="G189" s="302" t="s">
        <v>861</v>
      </c>
      <c r="H189" s="735" t="s">
        <v>295</v>
      </c>
      <c r="I189" s="736">
        <f>2*D189*D191/(SQRT(D190*D192))</f>
        <v>84.964957826405382</v>
      </c>
      <c r="K189" s="191"/>
      <c r="L189" s="191"/>
      <c r="M189" s="303">
        <v>0</v>
      </c>
      <c r="N189" s="303">
        <v>0</v>
      </c>
      <c r="O189" s="284" t="s">
        <v>832</v>
      </c>
      <c r="P189" s="304" t="s">
        <v>833</v>
      </c>
      <c r="Q189" s="305" t="s">
        <v>834</v>
      </c>
      <c r="R189" s="306">
        <v>1</v>
      </c>
      <c r="S189" s="307">
        <f>IF($G$6=5, M189, N189)</f>
        <v>0</v>
      </c>
      <c r="T189" s="305" t="str">
        <f>O189</f>
        <v>S  ≤  S₁</v>
      </c>
    </row>
    <row r="190" spans="1:20" s="207" customFormat="1" ht="15.95" hidden="1" customHeight="1" x14ac:dyDescent="0.15">
      <c r="A190" s="191"/>
      <c r="B190" s="329" t="s">
        <v>686</v>
      </c>
      <c r="C190" s="193" t="s">
        <v>643</v>
      </c>
      <c r="D190" s="227">
        <f>D21</f>
        <v>462398.66666666663</v>
      </c>
      <c r="E190" s="191" t="s">
        <v>750</v>
      </c>
      <c r="F190" s="191"/>
      <c r="G190" s="308" t="s">
        <v>862</v>
      </c>
      <c r="H190" s="735"/>
      <c r="I190" s="736"/>
      <c r="J190" s="309"/>
      <c r="K190" s="191"/>
      <c r="L190" s="191"/>
      <c r="M190" s="310">
        <v>0</v>
      </c>
      <c r="N190" s="310">
        <v>0</v>
      </c>
      <c r="O190" s="284" t="s">
        <v>836</v>
      </c>
      <c r="P190" s="311">
        <f>IF($G$6=5, M190,N190)</f>
        <v>0</v>
      </c>
      <c r="Q190" s="312">
        <f>IF($G$6=5,M192,N192)</f>
        <v>3823</v>
      </c>
      <c r="R190" s="313">
        <v>2</v>
      </c>
      <c r="S190" s="314">
        <f>IF($G$6=5, M191, N191)</f>
        <v>9.8547649317114061</v>
      </c>
      <c r="T190" s="315" t="str">
        <f>O191</f>
        <v>S₁&lt;  S  &lt; S₂</v>
      </c>
    </row>
    <row r="191" spans="1:20" s="207" customFormat="1" ht="15.95" hidden="1" customHeight="1" x14ac:dyDescent="0.15">
      <c r="B191" s="329" t="s">
        <v>696</v>
      </c>
      <c r="C191" s="193" t="s">
        <v>643</v>
      </c>
      <c r="D191" s="227">
        <f>D26</f>
        <v>19870.579852681814</v>
      </c>
      <c r="E191" s="191" t="s">
        <v>837</v>
      </c>
      <c r="G191" s="329" t="str">
        <f>T193</f>
        <v>S₁&lt;  S  &lt; S₂</v>
      </c>
      <c r="J191" s="191"/>
      <c r="K191" s="191"/>
      <c r="L191" s="191"/>
      <c r="M191" s="310">
        <f>10.5-0.07*SQRT(I189)</f>
        <v>9.8547649317114061</v>
      </c>
      <c r="N191" s="310">
        <f>16.7-0.14*SQRT(I189)</f>
        <v>15.409529863422812</v>
      </c>
      <c r="O191" s="284" t="s">
        <v>838</v>
      </c>
      <c r="P191" s="316" t="s">
        <v>839</v>
      </c>
      <c r="Q191" s="317"/>
      <c r="R191" s="318">
        <v>3</v>
      </c>
      <c r="S191" s="319">
        <f>IF($G$6=5, M193, N193)</f>
        <v>277.74979949046605</v>
      </c>
      <c r="T191" s="312" t="str">
        <f>O193</f>
        <v>S  ≥  S₂</v>
      </c>
    </row>
    <row r="192" spans="1:20" s="207" customFormat="1" ht="15.95" hidden="1" customHeight="1" thickBot="1" x14ac:dyDescent="0.2">
      <c r="A192" s="191"/>
      <c r="B192" s="329" t="s">
        <v>697</v>
      </c>
      <c r="C192" s="193" t="s">
        <v>643</v>
      </c>
      <c r="D192" s="227">
        <f>D27</f>
        <v>1064553.0909090908</v>
      </c>
      <c r="E192" s="191" t="s">
        <v>750</v>
      </c>
      <c r="F192" s="215"/>
      <c r="H192" s="215"/>
      <c r="I192" s="191"/>
      <c r="J192" s="191"/>
      <c r="K192" s="191"/>
      <c r="L192" s="191"/>
      <c r="M192" s="310">
        <v>3823</v>
      </c>
      <c r="N192" s="310">
        <v>2400</v>
      </c>
      <c r="O192" s="284" t="s">
        <v>840</v>
      </c>
      <c r="P192" s="305" t="s">
        <v>841</v>
      </c>
      <c r="Q192" s="297"/>
      <c r="R192" s="297"/>
      <c r="S192" s="297"/>
      <c r="T192" s="297"/>
    </row>
    <row r="193" spans="1:20" s="207" customFormat="1" ht="15.95" hidden="1" customHeight="1" thickBot="1" x14ac:dyDescent="0.2">
      <c r="A193" s="191"/>
      <c r="B193" s="329" t="s">
        <v>842</v>
      </c>
      <c r="C193" s="193" t="s">
        <v>643</v>
      </c>
      <c r="D193" s="220">
        <f>S193</f>
        <v>9.8547649317114061</v>
      </c>
      <c r="E193" s="191" t="s">
        <v>187</v>
      </c>
      <c r="F193" s="215"/>
      <c r="K193" s="191"/>
      <c r="L193" s="191"/>
      <c r="M193" s="320">
        <f>23599/I189</f>
        <v>277.74979949046605</v>
      </c>
      <c r="N193" s="320">
        <f>23599/I189</f>
        <v>277.74979949046605</v>
      </c>
      <c r="O193" s="284" t="s">
        <v>843</v>
      </c>
      <c r="P193" s="321">
        <f>I189</f>
        <v>84.964957826405382</v>
      </c>
      <c r="R193" s="322">
        <f>IF(P193&lt;=P190,1,IF(AND(P193&gt;P190,P193&lt;Q190),2,3))</f>
        <v>2</v>
      </c>
      <c r="S193" s="323">
        <f>VLOOKUP(R193, R189:S191, 2, FALSE)</f>
        <v>9.8547649317114061</v>
      </c>
      <c r="T193" s="324" t="str">
        <f>VLOOKUP(R193,R189:T191, 3, FALSE)</f>
        <v>S₁&lt;  S  &lt; S₂</v>
      </c>
    </row>
    <row r="194" spans="1:20" s="207" customFormat="1" ht="15.95" hidden="1" customHeight="1" x14ac:dyDescent="0.15">
      <c r="A194" s="191"/>
      <c r="C194" s="193" t="s">
        <v>643</v>
      </c>
      <c r="D194" s="220">
        <f>D193*6.894757</f>
        <v>67.946209496271749</v>
      </c>
      <c r="E194" s="191" t="s">
        <v>645</v>
      </c>
      <c r="F194" s="215"/>
      <c r="G194" s="215"/>
      <c r="H194" s="215"/>
      <c r="I194" s="191"/>
      <c r="J194" s="191"/>
      <c r="K194" s="191"/>
      <c r="L194" s="191"/>
      <c r="P194" s="297"/>
      <c r="Q194" s="297"/>
      <c r="R194" s="297"/>
    </row>
    <row r="195" spans="1:20" s="297" customFormat="1" ht="15.95" hidden="1" customHeight="1" x14ac:dyDescent="0.15">
      <c r="A195" s="191"/>
      <c r="E195" s="215"/>
      <c r="F195" s="215"/>
      <c r="G195" s="215"/>
      <c r="H195" s="215"/>
      <c r="I195" s="191"/>
      <c r="J195" s="191"/>
      <c r="K195" s="191"/>
      <c r="L195" s="191"/>
      <c r="P195" s="207"/>
      <c r="Q195" s="207"/>
      <c r="R195" s="207"/>
    </row>
    <row r="196" spans="1:20" s="207" customFormat="1" ht="15.95" hidden="1" customHeight="1" x14ac:dyDescent="0.15">
      <c r="A196" s="201"/>
      <c r="B196" s="299" t="s">
        <v>844</v>
      </c>
      <c r="C196" s="299"/>
      <c r="D196" s="299"/>
      <c r="E196" s="299"/>
      <c r="G196" s="215" t="s">
        <v>845</v>
      </c>
      <c r="H196" s="215"/>
      <c r="I196" s="215"/>
      <c r="J196" s="199"/>
      <c r="K196" s="201"/>
      <c r="L196" s="191"/>
      <c r="M196" s="242" t="s">
        <v>826</v>
      </c>
      <c r="N196" s="300">
        <v>16</v>
      </c>
      <c r="O196" s="201"/>
      <c r="P196" s="297"/>
      <c r="Q196" s="297"/>
      <c r="R196" s="201"/>
      <c r="S196" s="297"/>
      <c r="T196" s="297"/>
    </row>
    <row r="197" spans="1:20" s="207" customFormat="1" ht="15.95" hidden="1" customHeight="1" x14ac:dyDescent="0.15">
      <c r="A197" s="201"/>
      <c r="B197" s="299"/>
      <c r="C197" s="299"/>
      <c r="D197" s="299"/>
      <c r="E197" s="299"/>
      <c r="F197" s="299"/>
      <c r="H197" s="215"/>
      <c r="I197" s="201"/>
      <c r="J197" s="212"/>
      <c r="K197" s="201"/>
      <c r="L197" s="215" t="s">
        <v>823</v>
      </c>
      <c r="M197" s="301">
        <v>5</v>
      </c>
      <c r="N197" s="301">
        <v>6</v>
      </c>
      <c r="O197" s="297"/>
      <c r="P197" s="726" t="s">
        <v>827</v>
      </c>
      <c r="Q197" s="727"/>
      <c r="R197" s="719" t="s">
        <v>828</v>
      </c>
      <c r="S197" s="720"/>
      <c r="T197" s="721"/>
    </row>
    <row r="198" spans="1:20" s="207" customFormat="1" ht="15.95" hidden="1" customHeight="1" x14ac:dyDescent="0.15">
      <c r="A198" s="201"/>
      <c r="B198" s="329" t="s">
        <v>705</v>
      </c>
      <c r="C198" s="193" t="s">
        <v>643</v>
      </c>
      <c r="D198" s="220">
        <f>D164</f>
        <v>56</v>
      </c>
      <c r="E198" s="191" t="s">
        <v>830</v>
      </c>
      <c r="F198" s="191"/>
      <c r="G198" s="329" t="str">
        <f>T202</f>
        <v>S₁&lt;  S  &lt; S₂</v>
      </c>
      <c r="H198" s="215"/>
      <c r="K198" s="201"/>
      <c r="L198" s="191"/>
      <c r="M198" s="303">
        <v>9.6999999999999993</v>
      </c>
      <c r="N198" s="303">
        <v>15.2</v>
      </c>
      <c r="O198" s="284" t="s">
        <v>832</v>
      </c>
      <c r="P198" s="304" t="s">
        <v>833</v>
      </c>
      <c r="Q198" s="305" t="s">
        <v>834</v>
      </c>
      <c r="R198" s="306">
        <v>1</v>
      </c>
      <c r="S198" s="307">
        <f>IF($G$6=5, M198, N198)</f>
        <v>9.6999999999999993</v>
      </c>
      <c r="T198" s="305" t="str">
        <f>O198</f>
        <v>S  ≤  S₁</v>
      </c>
    </row>
    <row r="199" spans="1:20" s="207" customFormat="1" ht="15.95" hidden="1" customHeight="1" x14ac:dyDescent="0.15">
      <c r="A199" s="201"/>
      <c r="B199" s="329" t="s">
        <v>703</v>
      </c>
      <c r="C199" s="193" t="s">
        <v>643</v>
      </c>
      <c r="D199" s="220">
        <f>D165</f>
        <v>2</v>
      </c>
      <c r="E199" s="191" t="s">
        <v>830</v>
      </c>
      <c r="F199" s="297"/>
      <c r="G199" s="191"/>
      <c r="H199" s="215"/>
      <c r="I199" s="201"/>
      <c r="J199" s="201"/>
      <c r="K199" s="220"/>
      <c r="L199" s="191"/>
      <c r="M199" s="310">
        <v>25.6</v>
      </c>
      <c r="N199" s="310">
        <v>22.8</v>
      </c>
      <c r="O199" s="284" t="s">
        <v>836</v>
      </c>
      <c r="P199" s="311">
        <f>IF($G$6=5, M199,N199)</f>
        <v>25.6</v>
      </c>
      <c r="Q199" s="312">
        <f>IF($G$6=5,M201,N201)</f>
        <v>50</v>
      </c>
      <c r="R199" s="313">
        <v>2</v>
      </c>
      <c r="S199" s="314">
        <f>IF($G$6=5, M200, N200)</f>
        <v>9.4760000000000009</v>
      </c>
      <c r="T199" s="315" t="str">
        <f>O200</f>
        <v>S₁&lt;  S  &lt; S₂</v>
      </c>
    </row>
    <row r="200" spans="1:20" s="207" customFormat="1" ht="15.95" hidden="1" customHeight="1" x14ac:dyDescent="0.15">
      <c r="A200" s="201"/>
      <c r="B200" s="329" t="s">
        <v>846</v>
      </c>
      <c r="C200" s="193" t="s">
        <v>643</v>
      </c>
      <c r="D200" s="220">
        <f>D198/D199</f>
        <v>28</v>
      </c>
      <c r="E200" s="191"/>
      <c r="F200" s="201"/>
      <c r="H200" s="215"/>
      <c r="I200" s="201"/>
      <c r="J200" s="201"/>
      <c r="K200" s="201"/>
      <c r="L200" s="191"/>
      <c r="M200" s="310">
        <f>11.8-0.083*D200</f>
        <v>9.4760000000000009</v>
      </c>
      <c r="N200" s="310">
        <f>19-0.17*(D200)</f>
        <v>14.239999999999998</v>
      </c>
      <c r="O200" s="284" t="s">
        <v>838</v>
      </c>
      <c r="P200" s="316" t="s">
        <v>839</v>
      </c>
      <c r="Q200" s="317"/>
      <c r="R200" s="318">
        <v>3</v>
      </c>
      <c r="S200" s="319">
        <f>IF($G$6=5, M202, N202)</f>
        <v>13.642857142857142</v>
      </c>
      <c r="T200" s="312" t="str">
        <f>O202</f>
        <v>S  ≥  S₂</v>
      </c>
    </row>
    <row r="201" spans="1:20" s="207" customFormat="1" ht="15.95" hidden="1" customHeight="1" thickBot="1" x14ac:dyDescent="0.2">
      <c r="A201" s="201"/>
      <c r="B201" s="329" t="s">
        <v>847</v>
      </c>
      <c r="C201" s="193" t="s">
        <v>643</v>
      </c>
      <c r="D201" s="220">
        <f>S202</f>
        <v>9.4760000000000009</v>
      </c>
      <c r="E201" s="191" t="s">
        <v>187</v>
      </c>
      <c r="F201" s="201"/>
      <c r="G201" s="201"/>
      <c r="H201" s="215"/>
      <c r="I201" s="201"/>
      <c r="J201" s="191"/>
      <c r="K201" s="201"/>
      <c r="L201" s="191"/>
      <c r="M201" s="310">
        <v>50</v>
      </c>
      <c r="N201" s="310">
        <v>39</v>
      </c>
      <c r="O201" s="284" t="s">
        <v>840</v>
      </c>
      <c r="P201" s="305" t="s">
        <v>841</v>
      </c>
      <c r="Q201" s="297"/>
      <c r="R201" s="297"/>
      <c r="S201" s="297"/>
      <c r="T201" s="297"/>
    </row>
    <row r="202" spans="1:20" s="297" customFormat="1" ht="15.95" hidden="1" customHeight="1" thickBot="1" x14ac:dyDescent="0.2">
      <c r="A202" s="201"/>
      <c r="B202" s="210"/>
      <c r="C202" s="193" t="s">
        <v>643</v>
      </c>
      <c r="D202" s="220">
        <f>D201*6.894757</f>
        <v>65.334717332000011</v>
      </c>
      <c r="E202" s="191" t="s">
        <v>645</v>
      </c>
      <c r="F202" s="201"/>
      <c r="G202" s="201"/>
      <c r="H202" s="215"/>
      <c r="I202" s="201"/>
      <c r="J202" s="191"/>
      <c r="K202" s="201"/>
      <c r="L202" s="191"/>
      <c r="M202" s="320">
        <f>382/D200</f>
        <v>13.642857142857142</v>
      </c>
      <c r="N202" s="320">
        <f>484/D200</f>
        <v>17.285714285714285</v>
      </c>
      <c r="O202" s="284" t="s">
        <v>843</v>
      </c>
      <c r="P202" s="321">
        <f>D200</f>
        <v>28</v>
      </c>
      <c r="Q202" s="325"/>
      <c r="R202" s="322">
        <f>IF(P202&lt;=P199,1,IF(AND(P202&gt;P199,P202&lt;Q199),2,3))</f>
        <v>2</v>
      </c>
      <c r="S202" s="323">
        <f>VLOOKUP(R202, R198:S200, 2, FALSE)</f>
        <v>9.4760000000000009</v>
      </c>
      <c r="T202" s="324" t="str">
        <f>VLOOKUP(R202,R198:T200, 3, FALSE)</f>
        <v>S₁&lt;  S  &lt; S₂</v>
      </c>
    </row>
    <row r="203" spans="1:20" s="297" customFormat="1" ht="15.95" hidden="1" customHeight="1" x14ac:dyDescent="0.15">
      <c r="A203" s="201"/>
      <c r="C203" s="208"/>
      <c r="D203" s="191"/>
      <c r="E203" s="191"/>
      <c r="F203" s="201"/>
      <c r="G203" s="201"/>
      <c r="H203" s="215"/>
      <c r="I203" s="201"/>
      <c r="J203" s="191"/>
      <c r="K203" s="201"/>
      <c r="L203" s="201"/>
    </row>
    <row r="204" spans="1:20" s="297" customFormat="1" ht="15.95" hidden="1" customHeight="1" x14ac:dyDescent="0.15">
      <c r="A204" s="201"/>
      <c r="B204" s="299" t="s">
        <v>844</v>
      </c>
      <c r="C204" s="299"/>
      <c r="D204" s="299"/>
      <c r="E204" s="299"/>
      <c r="F204" s="299"/>
      <c r="G204" s="215" t="s">
        <v>848</v>
      </c>
      <c r="H204" s="215"/>
      <c r="I204" s="201"/>
      <c r="J204" s="212"/>
      <c r="K204" s="201"/>
      <c r="L204" s="191"/>
      <c r="M204" s="242" t="s">
        <v>826</v>
      </c>
      <c r="N204" s="300">
        <v>18</v>
      </c>
      <c r="O204" s="201"/>
      <c r="R204" s="201"/>
    </row>
    <row r="205" spans="1:20" s="297" customFormat="1" ht="15.95" hidden="1" customHeight="1" x14ac:dyDescent="0.15">
      <c r="A205" s="201"/>
      <c r="B205" s="299"/>
      <c r="C205" s="299"/>
      <c r="D205" s="299"/>
      <c r="E205" s="299"/>
      <c r="F205" s="299"/>
      <c r="G205" s="299"/>
      <c r="H205" s="299"/>
      <c r="I205" s="201"/>
      <c r="J205" s="212"/>
      <c r="K205" s="201"/>
      <c r="L205" s="215" t="s">
        <v>823</v>
      </c>
      <c r="M205" s="301">
        <v>5</v>
      </c>
      <c r="N205" s="301">
        <v>6</v>
      </c>
      <c r="P205" s="726" t="s">
        <v>827</v>
      </c>
      <c r="Q205" s="727"/>
      <c r="R205" s="719" t="s">
        <v>828</v>
      </c>
      <c r="S205" s="720"/>
      <c r="T205" s="721"/>
    </row>
    <row r="206" spans="1:20" s="297" customFormat="1" ht="15.95" hidden="1" customHeight="1" x14ac:dyDescent="0.15">
      <c r="A206" s="201"/>
      <c r="B206" s="329" t="s">
        <v>849</v>
      </c>
      <c r="C206" s="193" t="s">
        <v>643</v>
      </c>
      <c r="D206" s="220">
        <f>D155</f>
        <v>116</v>
      </c>
      <c r="E206" s="191" t="s">
        <v>830</v>
      </c>
      <c r="F206" s="191"/>
      <c r="G206" s="329" t="str">
        <f>T210</f>
        <v>S  ≤  S₁</v>
      </c>
      <c r="K206" s="201"/>
      <c r="L206" s="191"/>
      <c r="M206" s="303">
        <v>12.6</v>
      </c>
      <c r="N206" s="303">
        <v>19.7</v>
      </c>
      <c r="O206" s="284" t="s">
        <v>832</v>
      </c>
      <c r="P206" s="304" t="s">
        <v>833</v>
      </c>
      <c r="Q206" s="305" t="s">
        <v>834</v>
      </c>
      <c r="R206" s="306">
        <v>1</v>
      </c>
      <c r="S206" s="307">
        <f>IF($G$6=5, M206, N206)</f>
        <v>12.6</v>
      </c>
      <c r="T206" s="305" t="str">
        <f>O206</f>
        <v>S  ≤  S₁</v>
      </c>
    </row>
    <row r="207" spans="1:20" s="297" customFormat="1" ht="15.95" hidden="1" customHeight="1" x14ac:dyDescent="0.15">
      <c r="A207" s="201"/>
      <c r="B207" s="329" t="s">
        <v>703</v>
      </c>
      <c r="C207" s="193" t="s">
        <v>643</v>
      </c>
      <c r="D207" s="220">
        <f>D156</f>
        <v>2</v>
      </c>
      <c r="E207" s="191" t="s">
        <v>830</v>
      </c>
      <c r="F207" s="191"/>
      <c r="G207" s="191"/>
      <c r="H207" s="191"/>
      <c r="I207" s="201"/>
      <c r="J207" s="201"/>
      <c r="K207" s="220"/>
      <c r="L207" s="191"/>
      <c r="M207" s="310">
        <v>61</v>
      </c>
      <c r="N207" s="310">
        <v>54.9</v>
      </c>
      <c r="O207" s="284" t="s">
        <v>836</v>
      </c>
      <c r="P207" s="311">
        <f>IF($G$6=5, M207,N207)</f>
        <v>61</v>
      </c>
      <c r="Q207" s="312">
        <f>IF($G$6=5,M209,N209)</f>
        <v>115</v>
      </c>
      <c r="R207" s="313">
        <v>2</v>
      </c>
      <c r="S207" s="314">
        <f>IF($G$6=5, M208, N208)</f>
        <v>12.808000000000002</v>
      </c>
      <c r="T207" s="315" t="str">
        <f>O208</f>
        <v>S₁&lt;  S  &lt; S₂</v>
      </c>
    </row>
    <row r="208" spans="1:20" s="297" customFormat="1" ht="15.95" hidden="1" customHeight="1" x14ac:dyDescent="0.15">
      <c r="A208" s="201"/>
      <c r="B208" s="329" t="s">
        <v>850</v>
      </c>
      <c r="C208" s="193" t="s">
        <v>643</v>
      </c>
      <c r="D208" s="220">
        <f>D206/D207</f>
        <v>58</v>
      </c>
      <c r="E208" s="191"/>
      <c r="F208" s="201"/>
      <c r="H208" s="201"/>
      <c r="I208" s="201"/>
      <c r="J208" s="201"/>
      <c r="K208" s="201"/>
      <c r="L208" s="191"/>
      <c r="M208" s="310">
        <f>17.1-0.074*D208</f>
        <v>12.808000000000002</v>
      </c>
      <c r="N208" s="310">
        <f>27.9-0.15*(D208)</f>
        <v>19.2</v>
      </c>
      <c r="O208" s="284" t="s">
        <v>838</v>
      </c>
      <c r="P208" s="316" t="s">
        <v>839</v>
      </c>
      <c r="Q208" s="317"/>
      <c r="R208" s="318">
        <v>3</v>
      </c>
      <c r="S208" s="319">
        <f>IF($G$6=5, M210, N210)</f>
        <v>17</v>
      </c>
      <c r="T208" s="312" t="str">
        <f>O210</f>
        <v>S  ≥  S₂</v>
      </c>
    </row>
    <row r="209" spans="1:20" s="297" customFormat="1" ht="15.95" hidden="1" customHeight="1" thickBot="1" x14ac:dyDescent="0.2">
      <c r="A209" s="201"/>
      <c r="B209" s="329" t="s">
        <v>851</v>
      </c>
      <c r="C209" s="193" t="s">
        <v>643</v>
      </c>
      <c r="D209" s="220">
        <f>S210</f>
        <v>12.6</v>
      </c>
      <c r="E209" s="191" t="s">
        <v>187</v>
      </c>
      <c r="F209" s="201"/>
      <c r="G209" s="201"/>
      <c r="H209" s="201"/>
      <c r="I209" s="201"/>
      <c r="J209" s="191"/>
      <c r="K209" s="201"/>
      <c r="L209" s="191"/>
      <c r="M209" s="310">
        <v>115</v>
      </c>
      <c r="N209" s="310">
        <v>93</v>
      </c>
      <c r="O209" s="284" t="s">
        <v>840</v>
      </c>
      <c r="P209" s="305" t="s">
        <v>841</v>
      </c>
    </row>
    <row r="210" spans="1:20" s="297" customFormat="1" ht="15.95" hidden="1" customHeight="1" thickBot="1" x14ac:dyDescent="0.2">
      <c r="A210" s="201"/>
      <c r="B210" s="215"/>
      <c r="C210" s="193" t="s">
        <v>643</v>
      </c>
      <c r="D210" s="220">
        <f>D209*6.894757</f>
        <v>86.873938199999998</v>
      </c>
      <c r="E210" s="191" t="s">
        <v>645</v>
      </c>
      <c r="F210" s="201"/>
      <c r="G210" s="201"/>
      <c r="H210" s="201"/>
      <c r="I210" s="201"/>
      <c r="J210" s="201"/>
      <c r="K210" s="201"/>
      <c r="L210" s="191"/>
      <c r="M210" s="320">
        <f>986/D208</f>
        <v>17</v>
      </c>
      <c r="N210" s="320">
        <f>1298/D208</f>
        <v>22.379310344827587</v>
      </c>
      <c r="O210" s="284" t="s">
        <v>843</v>
      </c>
      <c r="P210" s="321">
        <f>D208</f>
        <v>58</v>
      </c>
      <c r="Q210" s="325"/>
      <c r="R210" s="322">
        <f>IF(P210&lt;=P207,1,IF(AND(P210&gt;P207,P210&lt;=Q207),2,3))</f>
        <v>1</v>
      </c>
      <c r="S210" s="323">
        <f>VLOOKUP(R210, R206:S208, 2, FALSE)</f>
        <v>12.6</v>
      </c>
      <c r="T210" s="324" t="str">
        <f>VLOOKUP(R210,R206:T208, 3, FALSE)</f>
        <v>S  ≤  S₁</v>
      </c>
    </row>
    <row r="211" spans="1:20" s="297" customFormat="1" ht="15.95" hidden="1" customHeight="1" x14ac:dyDescent="0.15">
      <c r="A211" s="191"/>
      <c r="B211" s="191"/>
      <c r="C211" s="191"/>
      <c r="D211" s="191"/>
      <c r="E211" s="191"/>
      <c r="F211" s="191"/>
      <c r="G211" s="191"/>
      <c r="H211" s="191"/>
      <c r="I211" s="191"/>
      <c r="J211" s="191"/>
      <c r="K211" s="191"/>
      <c r="L211" s="191"/>
      <c r="M211" s="284"/>
    </row>
    <row r="212" spans="1:20" s="297" customFormat="1" ht="15.95" hidden="1" customHeight="1" x14ac:dyDescent="0.15">
      <c r="A212" s="191"/>
      <c r="B212" s="191"/>
      <c r="C212" s="191"/>
      <c r="D212" s="191"/>
      <c r="E212" s="191"/>
      <c r="F212" s="191"/>
      <c r="G212" s="191"/>
      <c r="H212" s="191"/>
      <c r="I212" s="191"/>
      <c r="J212" s="191"/>
      <c r="K212" s="191"/>
      <c r="L212" s="191"/>
      <c r="M212" s="284"/>
    </row>
    <row r="213" spans="1:20" s="297" customFormat="1" ht="15.95" hidden="1" customHeight="1" x14ac:dyDescent="0.15">
      <c r="A213" s="191"/>
      <c r="B213" s="214" t="s">
        <v>852</v>
      </c>
      <c r="C213" s="191"/>
      <c r="D213" s="191"/>
      <c r="E213" s="210" t="s">
        <v>853</v>
      </c>
      <c r="F213" s="191" t="s">
        <v>854</v>
      </c>
      <c r="G213" s="191"/>
      <c r="H213" s="191"/>
      <c r="I213" s="191"/>
      <c r="J213" s="191"/>
      <c r="K213" s="191"/>
      <c r="L213" s="191"/>
      <c r="M213" s="284"/>
    </row>
    <row r="214" spans="1:20" s="297" customFormat="1" ht="15.95" hidden="1" customHeight="1" x14ac:dyDescent="0.15">
      <c r="A214" s="191"/>
      <c r="B214" s="214"/>
      <c r="C214" s="191"/>
      <c r="D214" s="191"/>
      <c r="E214" s="191"/>
      <c r="F214" s="191"/>
      <c r="G214" s="191"/>
      <c r="H214" s="191"/>
      <c r="I214" s="191"/>
      <c r="J214" s="191"/>
      <c r="K214" s="191"/>
      <c r="L214" s="191"/>
      <c r="M214" s="284"/>
    </row>
    <row r="215" spans="1:20" s="297" customFormat="1" ht="15.95" hidden="1" customHeight="1" x14ac:dyDescent="0.15">
      <c r="A215" s="191"/>
      <c r="B215" s="329" t="s">
        <v>855</v>
      </c>
      <c r="C215" s="193" t="s">
        <v>643</v>
      </c>
      <c r="D215" s="734" t="s">
        <v>1051</v>
      </c>
      <c r="E215" s="734"/>
      <c r="F215" s="191"/>
      <c r="G215" s="191"/>
      <c r="H215" s="191"/>
      <c r="I215" s="191"/>
      <c r="J215" s="191"/>
      <c r="K215" s="191"/>
      <c r="L215" s="191"/>
      <c r="M215" s="191"/>
      <c r="N215" s="191"/>
      <c r="O215" s="191"/>
    </row>
    <row r="216" spans="1:20" s="297" customFormat="1" ht="15.95" hidden="1" customHeight="1" x14ac:dyDescent="0.15">
      <c r="A216" s="191"/>
      <c r="B216" s="215"/>
      <c r="C216" s="193" t="s">
        <v>643</v>
      </c>
      <c r="D216" s="220">
        <f>(D13)/D26</f>
        <v>0</v>
      </c>
      <c r="E216" s="191" t="s">
        <v>645</v>
      </c>
      <c r="F216" s="191"/>
      <c r="G216" s="191"/>
      <c r="H216" s="191"/>
      <c r="I216" s="191"/>
      <c r="J216" s="191"/>
      <c r="K216" s="191"/>
      <c r="L216" s="191"/>
      <c r="M216" s="191"/>
      <c r="N216" s="191"/>
      <c r="O216" s="191"/>
    </row>
    <row r="217" spans="1:20" s="297" customFormat="1" ht="15.95" hidden="1" customHeight="1" x14ac:dyDescent="0.15">
      <c r="A217" s="191"/>
      <c r="B217" s="329" t="s">
        <v>857</v>
      </c>
      <c r="C217" s="193" t="s">
        <v>643</v>
      </c>
      <c r="D217" s="329" t="s">
        <v>858</v>
      </c>
      <c r="F217" s="329"/>
      <c r="H217" s="191"/>
      <c r="I217" s="191"/>
      <c r="J217" s="191"/>
      <c r="K217" s="191"/>
      <c r="L217" s="191"/>
      <c r="M217" s="191"/>
      <c r="N217" s="191"/>
      <c r="O217" s="191"/>
    </row>
    <row r="218" spans="1:20" s="297" customFormat="1" ht="15.95" hidden="1" customHeight="1" x14ac:dyDescent="0.15">
      <c r="A218" s="191"/>
      <c r="B218" s="210"/>
      <c r="C218" s="193" t="s">
        <v>643</v>
      </c>
      <c r="D218" s="328">
        <f>MIN(D194,D202,D210)</f>
        <v>65.334717332000011</v>
      </c>
      <c r="E218" s="191" t="s">
        <v>645</v>
      </c>
      <c r="F218" s="191"/>
      <c r="G218" s="215"/>
      <c r="H218" s="210"/>
      <c r="I218" s="215"/>
      <c r="J218" s="191"/>
      <c r="K218" s="191"/>
      <c r="L218" s="191"/>
      <c r="M218" s="191"/>
      <c r="N218" s="191"/>
      <c r="O218" s="191"/>
    </row>
    <row r="219" spans="1:20" s="201" customFormat="1" ht="15.95" hidden="1" customHeight="1" x14ac:dyDescent="0.15">
      <c r="F219" s="191"/>
      <c r="G219" s="191"/>
      <c r="H219" s="191"/>
      <c r="I219" s="191"/>
      <c r="J219" s="191"/>
      <c r="K219" s="191"/>
      <c r="L219" s="191"/>
      <c r="M219" s="205"/>
    </row>
    <row r="220" spans="1:20" s="201" customFormat="1" ht="15.95" hidden="1" customHeight="1" x14ac:dyDescent="0.15">
      <c r="B220" s="214" t="s">
        <v>859</v>
      </c>
      <c r="C220" s="191"/>
      <c r="E220" s="191"/>
      <c r="F220" s="191"/>
      <c r="G220" s="191"/>
      <c r="H220" s="191"/>
      <c r="I220" s="191"/>
      <c r="J220" s="191"/>
      <c r="K220" s="191"/>
      <c r="L220" s="191"/>
      <c r="M220" s="205"/>
    </row>
    <row r="221" spans="1:20" ht="15.95" hidden="1" customHeight="1" x14ac:dyDescent="0.15"/>
    <row r="222" spans="1:20" s="201" customFormat="1" ht="15.95" hidden="1" customHeight="1" x14ac:dyDescent="0.15">
      <c r="B222" s="329" t="s">
        <v>860</v>
      </c>
      <c r="C222" s="193" t="s">
        <v>643</v>
      </c>
      <c r="D222" s="215">
        <f>D216/D218</f>
        <v>0</v>
      </c>
      <c r="E222" s="216" t="str">
        <f>IF(D222&gt;F222,"&gt;","&lt;")</f>
        <v>&lt;</v>
      </c>
      <c r="F222" s="217">
        <v>1</v>
      </c>
      <c r="G222" s="218" t="str">
        <f>IF(D222&lt;F222,"O.K.","N.G.")</f>
        <v>O.K.</v>
      </c>
      <c r="J222" s="191"/>
      <c r="K222" s="191"/>
      <c r="L222" s="191"/>
      <c r="M222" s="205"/>
    </row>
    <row r="223" spans="1:20" s="201" customFormat="1" ht="15.95" hidden="1" customHeight="1" x14ac:dyDescent="0.15">
      <c r="A223" s="191"/>
      <c r="B223" s="286"/>
      <c r="C223" s="191"/>
      <c r="D223" s="210"/>
      <c r="E223" s="191"/>
      <c r="F223" s="191"/>
      <c r="H223" s="191"/>
      <c r="I223" s="191"/>
      <c r="J223" s="191"/>
      <c r="K223" s="191"/>
      <c r="L223" s="191"/>
      <c r="M223" s="205"/>
    </row>
    <row r="224" spans="1:20" s="201" customFormat="1" ht="15.95" hidden="1" customHeight="1" x14ac:dyDescent="0.15">
      <c r="A224" s="192"/>
      <c r="B224" s="192"/>
      <c r="C224" s="192"/>
      <c r="D224" s="192"/>
      <c r="E224" s="192"/>
      <c r="F224" s="241"/>
      <c r="G224" s="192"/>
      <c r="H224" s="192"/>
      <c r="I224" s="192"/>
      <c r="J224" s="192"/>
      <c r="K224" s="192"/>
      <c r="L224" s="192"/>
      <c r="M224" s="205"/>
    </row>
    <row r="225" spans="1:16" s="201" customFormat="1" ht="15.95" hidden="1" customHeight="1" x14ac:dyDescent="0.15">
      <c r="A225" s="192"/>
      <c r="B225" s="201" t="s">
        <v>863</v>
      </c>
      <c r="C225" s="192"/>
      <c r="D225" s="192"/>
      <c r="E225" s="192"/>
      <c r="F225" s="192"/>
      <c r="G225" s="192"/>
      <c r="H225" s="192"/>
      <c r="I225" s="192"/>
      <c r="J225" s="192"/>
      <c r="K225" s="192"/>
      <c r="L225" s="192"/>
      <c r="M225" s="284"/>
      <c r="N225" s="284"/>
      <c r="O225" s="285"/>
    </row>
    <row r="226" spans="1:16" s="201" customFormat="1" ht="15.95" hidden="1" customHeight="1" x14ac:dyDescent="0.15">
      <c r="A226" s="192"/>
      <c r="B226" s="192"/>
      <c r="C226" s="192"/>
      <c r="D226" s="192"/>
      <c r="E226" s="192"/>
      <c r="F226" s="192"/>
      <c r="G226" s="192"/>
      <c r="H226" s="192"/>
      <c r="I226" s="192"/>
      <c r="J226" s="192"/>
      <c r="K226" s="192"/>
      <c r="L226" s="192"/>
      <c r="M226" s="205"/>
    </row>
    <row r="227" spans="1:16" s="201" customFormat="1" ht="15.95" hidden="1" customHeight="1" x14ac:dyDescent="0.15">
      <c r="A227" s="192"/>
      <c r="B227" s="329" t="s">
        <v>860</v>
      </c>
      <c r="C227" s="193" t="s">
        <v>643</v>
      </c>
      <c r="D227" s="191">
        <f>D181</f>
        <v>8.4970604757504162E-2</v>
      </c>
      <c r="E227" s="205" t="s">
        <v>864</v>
      </c>
      <c r="F227" s="210">
        <f>D222</f>
        <v>0</v>
      </c>
      <c r="G227" s="192"/>
      <c r="H227" s="192"/>
      <c r="I227" s="192"/>
      <c r="J227" s="192"/>
      <c r="K227" s="192"/>
      <c r="L227" s="192"/>
      <c r="M227" s="205"/>
    </row>
    <row r="228" spans="1:16" s="201" customFormat="1" ht="15.95" hidden="1" customHeight="1" x14ac:dyDescent="0.15">
      <c r="A228" s="192"/>
      <c r="B228" s="192"/>
      <c r="C228" s="193" t="s">
        <v>643</v>
      </c>
      <c r="D228" s="215">
        <f>D227+F227</f>
        <v>8.4970604757504162E-2</v>
      </c>
      <c r="E228" s="216" t="str">
        <f>IF(D228&gt;F228,"&gt;","&lt;")</f>
        <v>&lt;</v>
      </c>
      <c r="F228" s="217">
        <v>1</v>
      </c>
      <c r="G228" s="218" t="str">
        <f>IF(D228&lt;F228,"O.K.","N.G.")</f>
        <v>O.K.</v>
      </c>
      <c r="H228" s="192"/>
      <c r="I228" s="192"/>
      <c r="J228" s="192"/>
      <c r="K228" s="192"/>
      <c r="L228" s="192"/>
      <c r="M228" s="205"/>
    </row>
    <row r="229" spans="1:16" s="201" customFormat="1" ht="15.95" hidden="1" customHeight="1" x14ac:dyDescent="0.15">
      <c r="A229" s="192"/>
      <c r="B229" s="192"/>
      <c r="C229" s="193"/>
      <c r="D229" s="215"/>
      <c r="E229" s="216"/>
      <c r="F229" s="217"/>
      <c r="G229" s="192"/>
      <c r="H229" s="192"/>
      <c r="I229" s="192"/>
      <c r="J229" s="192"/>
      <c r="K229" s="192"/>
      <c r="L229" s="192"/>
      <c r="M229" s="205"/>
    </row>
    <row r="230" spans="1:16" s="201" customFormat="1" ht="15.95" hidden="1" customHeight="1" x14ac:dyDescent="0.15">
      <c r="A230" s="192"/>
      <c r="B230" s="192"/>
      <c r="C230" s="193"/>
      <c r="D230" s="215"/>
      <c r="E230" s="216"/>
      <c r="F230" s="217"/>
      <c r="G230" s="192"/>
      <c r="H230" s="192"/>
      <c r="I230" s="192"/>
      <c r="J230" s="192"/>
      <c r="K230" s="192"/>
      <c r="L230" s="192"/>
      <c r="M230" s="205"/>
    </row>
    <row r="231" spans="1:16" ht="15.95" hidden="1" customHeight="1" x14ac:dyDescent="0.15">
      <c r="B231" s="24" t="s">
        <v>865</v>
      </c>
      <c r="M231" s="191"/>
    </row>
    <row r="232" spans="1:16" ht="15.95" hidden="1" customHeight="1" x14ac:dyDescent="0.15">
      <c r="H232" s="205"/>
      <c r="I232" s="201"/>
      <c r="J232" s="201"/>
      <c r="K232" s="201"/>
      <c r="L232" s="201"/>
      <c r="M232" s="201"/>
      <c r="N232" s="201"/>
      <c r="O232" s="201"/>
      <c r="P232" s="201"/>
    </row>
    <row r="233" spans="1:16" s="201" customFormat="1" ht="15.95" hidden="1" customHeight="1" x14ac:dyDescent="0.15">
      <c r="A233" s="192"/>
      <c r="B233" s="201" t="s">
        <v>726</v>
      </c>
      <c r="C233" s="192"/>
      <c r="D233" s="192"/>
      <c r="E233" s="192"/>
      <c r="F233" s="192"/>
      <c r="G233" s="192"/>
      <c r="H233" s="205"/>
      <c r="I233" s="283"/>
    </row>
    <row r="234" spans="1:16" ht="15.95" hidden="1" customHeight="1" x14ac:dyDescent="0.15">
      <c r="H234" s="205"/>
      <c r="I234" s="201"/>
      <c r="J234" s="201"/>
      <c r="K234" s="201"/>
      <c r="L234" s="201"/>
      <c r="M234" s="208"/>
      <c r="N234" s="201"/>
      <c r="O234" s="201"/>
      <c r="P234" s="201"/>
    </row>
    <row r="235" spans="1:16" ht="15.95" hidden="1" customHeight="1" x14ac:dyDescent="0.15">
      <c r="B235" s="214" t="s">
        <v>866</v>
      </c>
      <c r="H235" s="201"/>
      <c r="I235" s="201"/>
      <c r="J235" s="201"/>
      <c r="K235" s="212"/>
      <c r="L235" s="201"/>
      <c r="M235" s="208"/>
      <c r="N235" s="201"/>
      <c r="O235" s="201"/>
      <c r="P235" s="201"/>
    </row>
    <row r="236" spans="1:16" ht="15.95" hidden="1" customHeight="1" x14ac:dyDescent="0.15">
      <c r="B236" s="214"/>
      <c r="H236" s="201"/>
      <c r="I236" s="201"/>
      <c r="J236" s="201"/>
      <c r="K236" s="201"/>
      <c r="L236" s="201"/>
      <c r="M236" s="208"/>
      <c r="N236" s="201"/>
      <c r="O236" s="201"/>
      <c r="P236" s="201"/>
    </row>
    <row r="237" spans="1:16" ht="15.95" hidden="1" customHeight="1" x14ac:dyDescent="0.15">
      <c r="B237" s="329" t="s">
        <v>867</v>
      </c>
      <c r="C237" s="193" t="s">
        <v>643</v>
      </c>
      <c r="D237" s="191">
        <f>D14</f>
        <v>0.47228377811926775</v>
      </c>
      <c r="E237" s="191" t="s">
        <v>479</v>
      </c>
      <c r="M237" s="191"/>
    </row>
    <row r="238" spans="1:16" ht="15.95" hidden="1" customHeight="1" x14ac:dyDescent="0.15">
      <c r="B238" s="210"/>
      <c r="C238" s="215"/>
      <c r="D238" s="258"/>
      <c r="G238" s="210"/>
      <c r="L238" s="210"/>
      <c r="M238" s="191"/>
    </row>
    <row r="239" spans="1:16" ht="15.95" hidden="1" customHeight="1" x14ac:dyDescent="0.15">
      <c r="B239" s="214" t="s">
        <v>868</v>
      </c>
      <c r="E239" s="191" t="s">
        <v>869</v>
      </c>
      <c r="M239" s="191"/>
    </row>
    <row r="240" spans="1:16" ht="15.95" hidden="1" customHeight="1" x14ac:dyDescent="0.15">
      <c r="M240" s="191"/>
    </row>
    <row r="241" spans="1:20" ht="15.95" hidden="1" customHeight="1" x14ac:dyDescent="0.15">
      <c r="B241" s="329" t="s">
        <v>870</v>
      </c>
      <c r="C241" s="193" t="s">
        <v>643</v>
      </c>
      <c r="D241" s="191">
        <f>E41</f>
        <v>1.5</v>
      </c>
      <c r="E241" s="191" t="s">
        <v>479</v>
      </c>
      <c r="F241" s="213" t="str">
        <f>VLOOKUP(D241,L241:M242,2)</f>
        <v>( 1 / 16" : Open Window )</v>
      </c>
      <c r="L241" s="231">
        <v>1.5</v>
      </c>
      <c r="M241" s="210" t="s">
        <v>871</v>
      </c>
    </row>
    <row r="242" spans="1:20" ht="15.95" hidden="1" customHeight="1" x14ac:dyDescent="0.15">
      <c r="L242" s="231">
        <v>3</v>
      </c>
      <c r="M242" s="210" t="s">
        <v>872</v>
      </c>
    </row>
    <row r="243" spans="1:20" ht="15.95" hidden="1" customHeight="1" x14ac:dyDescent="0.15">
      <c r="B243" s="214" t="s">
        <v>873</v>
      </c>
      <c r="M243" s="191"/>
    </row>
    <row r="244" spans="1:20" ht="15.95" hidden="1" customHeight="1" x14ac:dyDescent="0.15">
      <c r="L244" s="201"/>
      <c r="M244" s="191"/>
    </row>
    <row r="245" spans="1:20" s="193" customFormat="1" ht="15.95" hidden="1" customHeight="1" x14ac:dyDescent="0.15">
      <c r="A245" s="201"/>
      <c r="B245" s="329" t="s">
        <v>874</v>
      </c>
      <c r="C245" s="193" t="s">
        <v>643</v>
      </c>
      <c r="D245" s="215">
        <f>D237/(D241)</f>
        <v>0.31485585207951183</v>
      </c>
      <c r="E245" s="216" t="str">
        <f>IF(D245&gt;F245,"&gt;","&lt;")</f>
        <v>&lt;</v>
      </c>
      <c r="F245" s="217">
        <v>1</v>
      </c>
      <c r="G245" s="218" t="str">
        <f>IF(D245&lt;F245,"O.K.","N.G.")</f>
        <v>O.K.</v>
      </c>
      <c r="H245" s="192"/>
      <c r="I245" s="192"/>
      <c r="J245" s="192"/>
      <c r="K245" s="192"/>
      <c r="L245" s="192"/>
      <c r="N245" s="191"/>
      <c r="O245" s="191"/>
      <c r="P245" s="191"/>
      <c r="Q245" s="191"/>
      <c r="R245" s="191"/>
      <c r="S245" s="191"/>
      <c r="T245" s="191"/>
    </row>
    <row r="246" spans="1:20" ht="15.95" hidden="1" customHeight="1" x14ac:dyDescent="0.15">
      <c r="L246" s="201"/>
      <c r="M246" s="191"/>
    </row>
    <row r="247" spans="1:20" ht="15.95" hidden="1" customHeight="1" x14ac:dyDescent="0.15">
      <c r="L247" s="201"/>
      <c r="M247" s="191"/>
    </row>
    <row r="248" spans="1:20" s="201" customFormat="1" ht="15.95" hidden="1" customHeight="1" x14ac:dyDescent="0.15">
      <c r="A248" s="192"/>
      <c r="B248" s="201" t="s">
        <v>781</v>
      </c>
      <c r="C248" s="192"/>
      <c r="D248" s="192"/>
      <c r="E248" s="192"/>
      <c r="F248" s="192"/>
      <c r="G248" s="192"/>
      <c r="H248" s="192"/>
      <c r="I248" s="192"/>
      <c r="J248" s="192"/>
      <c r="K248" s="192"/>
      <c r="L248" s="192"/>
      <c r="M248" s="284"/>
      <c r="N248" s="284"/>
      <c r="O248" s="285"/>
    </row>
    <row r="249" spans="1:20" ht="15.95" hidden="1" customHeight="1" x14ac:dyDescent="0.15">
      <c r="L249" s="201"/>
      <c r="M249" s="191"/>
    </row>
    <row r="250" spans="1:20" ht="15.95" hidden="1" customHeight="1" x14ac:dyDescent="0.15">
      <c r="B250" s="214" t="s">
        <v>866</v>
      </c>
      <c r="M250" s="191"/>
    </row>
    <row r="251" spans="1:20" ht="15.95" hidden="1" customHeight="1" x14ac:dyDescent="0.15">
      <c r="B251" s="214"/>
      <c r="M251" s="191"/>
    </row>
    <row r="252" spans="1:20" ht="15.95" hidden="1" customHeight="1" x14ac:dyDescent="0.15">
      <c r="B252" s="329" t="s">
        <v>867</v>
      </c>
      <c r="C252" s="193" t="s">
        <v>643</v>
      </c>
      <c r="D252" s="191">
        <f>D15</f>
        <v>0</v>
      </c>
      <c r="E252" s="191" t="s">
        <v>479</v>
      </c>
      <c r="M252" s="191"/>
    </row>
    <row r="253" spans="1:20" ht="15.95" hidden="1" customHeight="1" x14ac:dyDescent="0.15">
      <c r="B253" s="210"/>
      <c r="C253" s="215"/>
      <c r="D253" s="258"/>
      <c r="M253" s="191"/>
    </row>
    <row r="254" spans="1:20" ht="15.95" hidden="1" customHeight="1" x14ac:dyDescent="0.15">
      <c r="L254" s="201"/>
      <c r="M254" s="191"/>
    </row>
    <row r="255" spans="1:20" ht="15.95" hidden="1" customHeight="1" x14ac:dyDescent="0.15">
      <c r="B255" s="214" t="s">
        <v>868</v>
      </c>
      <c r="E255" s="191" t="s">
        <v>875</v>
      </c>
      <c r="M255" s="191"/>
    </row>
    <row r="256" spans="1:20" ht="15.95" hidden="1" customHeight="1" x14ac:dyDescent="0.15">
      <c r="B256" s="214"/>
      <c r="M256" s="191"/>
    </row>
    <row r="257" spans="1:20" ht="15.95" hidden="1" customHeight="1" x14ac:dyDescent="0.15">
      <c r="B257" s="329" t="s">
        <v>738</v>
      </c>
      <c r="C257" s="193" t="s">
        <v>643</v>
      </c>
      <c r="D257" s="227">
        <f>D9</f>
        <v>1500</v>
      </c>
      <c r="E257" s="191" t="str">
        <f>IF(D257&gt;4110,"mm      &gt;     4110 mm","mm     ≤     4110 mm")</f>
        <v>mm     ≤     4110 mm</v>
      </c>
      <c r="L257" s="210" t="s">
        <v>876</v>
      </c>
      <c r="M257" s="254">
        <f>D257/240+6.35</f>
        <v>12.6</v>
      </c>
    </row>
    <row r="258" spans="1:20" ht="15.95" hidden="1" customHeight="1" x14ac:dyDescent="0.15">
      <c r="B258" s="329" t="s">
        <v>870</v>
      </c>
      <c r="C258" s="193" t="s">
        <v>643</v>
      </c>
      <c r="D258" s="198">
        <f>D257</f>
        <v>1500</v>
      </c>
      <c r="E258" s="209" t="str">
        <f>IF(D257&lt;4110,"mm      /     175 ","mm      /      240 + 6.35 mm ")</f>
        <v xml:space="preserve">mm      /     175 </v>
      </c>
      <c r="L258" s="210" t="s">
        <v>877</v>
      </c>
      <c r="M258" s="254">
        <f>D257/175</f>
        <v>8.5714285714285712</v>
      </c>
    </row>
    <row r="259" spans="1:20" ht="15.95" hidden="1" customHeight="1" x14ac:dyDescent="0.15">
      <c r="B259" s="286"/>
      <c r="C259" s="193" t="s">
        <v>643</v>
      </c>
      <c r="D259" s="215">
        <f>IF(D257&lt;4110,M258,M257)</f>
        <v>8.5714285714285712</v>
      </c>
      <c r="E259" s="191" t="s">
        <v>479</v>
      </c>
      <c r="M259" s="191"/>
    </row>
    <row r="260" spans="1:20" ht="15.95" hidden="1" customHeight="1" x14ac:dyDescent="0.15">
      <c r="C260" s="215"/>
      <c r="D260" s="231"/>
      <c r="M260" s="191"/>
    </row>
    <row r="261" spans="1:20" ht="15.95" hidden="1" customHeight="1" x14ac:dyDescent="0.15">
      <c r="M261" s="191"/>
    </row>
    <row r="262" spans="1:20" ht="15.95" hidden="1" customHeight="1" x14ac:dyDescent="0.15">
      <c r="B262" s="214" t="s">
        <v>873</v>
      </c>
      <c r="M262" s="191"/>
    </row>
    <row r="263" spans="1:20" s="193" customFormat="1" ht="15.95" hidden="1" customHeight="1" x14ac:dyDescent="0.15">
      <c r="A263" s="192"/>
      <c r="C263" s="192"/>
      <c r="D263" s="192"/>
      <c r="E263" s="192"/>
      <c r="F263" s="192"/>
      <c r="G263" s="192"/>
      <c r="H263" s="192"/>
      <c r="I263" s="192"/>
      <c r="J263" s="192"/>
      <c r="K263" s="192"/>
      <c r="L263" s="192"/>
      <c r="N263" s="191"/>
      <c r="O263" s="191"/>
      <c r="P263" s="191"/>
      <c r="Q263" s="191"/>
      <c r="R263" s="191"/>
      <c r="S263" s="191"/>
      <c r="T263" s="191"/>
    </row>
    <row r="264" spans="1:20" s="193" customFormat="1" ht="15.95" hidden="1" customHeight="1" x14ac:dyDescent="0.15">
      <c r="A264" s="201"/>
      <c r="B264" s="329" t="s">
        <v>874</v>
      </c>
      <c r="C264" s="193" t="s">
        <v>643</v>
      </c>
      <c r="D264" s="215">
        <f>D252/(D259)</f>
        <v>0</v>
      </c>
      <c r="E264" s="216" t="str">
        <f>IF(D264&gt;F264,"&gt;","&lt;")</f>
        <v>&lt;</v>
      </c>
      <c r="F264" s="217">
        <v>1</v>
      </c>
      <c r="G264" s="218" t="str">
        <f>IF(D264&lt;F264,"O.K.","N.G.")</f>
        <v>O.K.</v>
      </c>
      <c r="H264" s="192"/>
      <c r="I264" s="192"/>
      <c r="J264" s="192"/>
      <c r="K264" s="192"/>
      <c r="L264" s="192"/>
      <c r="N264" s="191"/>
      <c r="O264" s="191"/>
      <c r="P264" s="191"/>
      <c r="Q264" s="191"/>
      <c r="R264" s="191"/>
      <c r="S264" s="191"/>
      <c r="T264" s="191"/>
    </row>
    <row r="265" spans="1:20" s="193" customFormat="1" ht="15.95" hidden="1" customHeight="1" x14ac:dyDescent="0.15">
      <c r="A265" s="192"/>
      <c r="B265" s="192"/>
      <c r="C265" s="192"/>
      <c r="D265" s="192"/>
      <c r="E265" s="192"/>
      <c r="F265" s="192"/>
      <c r="G265" s="192"/>
      <c r="H265" s="192"/>
      <c r="I265" s="192"/>
      <c r="J265" s="192"/>
      <c r="K265" s="192"/>
      <c r="L265" s="192"/>
      <c r="N265" s="191"/>
      <c r="O265" s="191"/>
      <c r="P265" s="191"/>
      <c r="Q265" s="191"/>
      <c r="R265" s="191"/>
      <c r="S265" s="191"/>
      <c r="T265" s="191"/>
    </row>
    <row r="266" spans="1:20" ht="15" hidden="1" customHeight="1" x14ac:dyDescent="0.15"/>
    <row r="267" spans="1:20" ht="15" hidden="1" customHeight="1" x14ac:dyDescent="0.15"/>
    <row r="268" spans="1:20" ht="15" hidden="1" customHeight="1" x14ac:dyDescent="0.15"/>
    <row r="269" spans="1:20" ht="15" hidden="1" customHeight="1" x14ac:dyDescent="0.15"/>
    <row r="270" spans="1:20" ht="15.95" hidden="1" customHeight="1" x14ac:dyDescent="0.15"/>
    <row r="271" spans="1:20" ht="15.95" hidden="1" customHeight="1" x14ac:dyDescent="0.15"/>
    <row r="272" spans="1:20" ht="15.95" hidden="1" customHeight="1" x14ac:dyDescent="0.15"/>
    <row r="273" spans="22:25" ht="15.95" hidden="1" customHeight="1" x14ac:dyDescent="0.15"/>
    <row r="274" spans="22:25" ht="15.95" hidden="1" customHeight="1" x14ac:dyDescent="0.15"/>
    <row r="275" spans="22:25" ht="15.95" customHeight="1" x14ac:dyDescent="0.15"/>
    <row r="276" spans="22:25" ht="15.95" customHeight="1" x14ac:dyDescent="0.15"/>
    <row r="277" spans="22:25" ht="15.95" customHeight="1" x14ac:dyDescent="0.15"/>
    <row r="278" spans="22:25" ht="15.95" customHeight="1" x14ac:dyDescent="0.15">
      <c r="V278" s="222">
        <v>1</v>
      </c>
      <c r="W278" s="222">
        <v>2</v>
      </c>
      <c r="X278" s="222">
        <v>3</v>
      </c>
      <c r="Y278" s="222">
        <v>4</v>
      </c>
    </row>
    <row r="279" spans="22:25" ht="15.95" customHeight="1" x14ac:dyDescent="0.15">
      <c r="V279" s="193" t="s">
        <v>878</v>
      </c>
      <c r="W279" s="193" t="s">
        <v>879</v>
      </c>
      <c r="X279" s="193" t="s">
        <v>880</v>
      </c>
      <c r="Y279" s="193" t="s">
        <v>881</v>
      </c>
    </row>
    <row r="280" spans="22:25" ht="159.94999999999999" customHeight="1" x14ac:dyDescent="0.15"/>
    <row r="281" spans="22:25" ht="15.95" customHeight="1" x14ac:dyDescent="0.15"/>
    <row r="282" spans="22:25" ht="15.95" customHeight="1" x14ac:dyDescent="0.15"/>
    <row r="283" spans="22:25" ht="15.95" customHeight="1" x14ac:dyDescent="0.15"/>
    <row r="284" spans="22:25" ht="15.95" customHeight="1" x14ac:dyDescent="0.15"/>
    <row r="285" spans="22:25" ht="15.95" customHeight="1" x14ac:dyDescent="0.15"/>
    <row r="286" spans="22:25" ht="15.95" customHeight="1" x14ac:dyDescent="0.15"/>
    <row r="287" spans="22:25" ht="15.95" customHeight="1" x14ac:dyDescent="0.15"/>
    <row r="288" spans="22:25" ht="15.95" customHeight="1" x14ac:dyDescent="0.15"/>
    <row r="289" ht="15.95" customHeight="1" x14ac:dyDescent="0.15"/>
    <row r="290" ht="15.95" customHeight="1" x14ac:dyDescent="0.15"/>
    <row r="291" ht="15.95" customHeight="1" x14ac:dyDescent="0.15"/>
    <row r="292" ht="15.95" customHeight="1" x14ac:dyDescent="0.15"/>
    <row r="293" ht="15.95" customHeight="1" x14ac:dyDescent="0.15"/>
    <row r="294" ht="15.95" customHeight="1" x14ac:dyDescent="0.15"/>
    <row r="295" ht="15.95" customHeight="1" x14ac:dyDescent="0.15"/>
    <row r="296" ht="15.95" customHeight="1" x14ac:dyDescent="0.15"/>
    <row r="297" ht="15.95" customHeight="1" x14ac:dyDescent="0.15"/>
    <row r="298" ht="15.95" customHeight="1" x14ac:dyDescent="0.15"/>
    <row r="299" ht="15.95" customHeight="1" x14ac:dyDescent="0.15"/>
    <row r="300" ht="15.95" customHeight="1" x14ac:dyDescent="0.15"/>
    <row r="301" ht="15.95" customHeight="1" x14ac:dyDescent="0.15"/>
    <row r="302" ht="15.95" customHeight="1" x14ac:dyDescent="0.15"/>
    <row r="303" ht="15.95" customHeight="1" x14ac:dyDescent="0.15"/>
    <row r="304" ht="15.95" customHeight="1" x14ac:dyDescent="0.15"/>
  </sheetData>
  <sheetProtection algorithmName="SHA-512" hashValue="OvQL84LZrX7sN0Vc+AuZchOQToDiC0ULKQRT/z9SvybUJTrsas2JrUYtns0EPvCsxJU2x927mLirM5Y5ic56Lw==" saltValue="QCWKF87w4q1tfsRY6LBd9Q==" spinCount="100000" sheet="1" objects="1" scenarios="1" selectLockedCells="1"/>
  <mergeCells count="31">
    <mergeCell ref="P205:Q205"/>
    <mergeCell ref="R205:T205"/>
    <mergeCell ref="D215:E215"/>
    <mergeCell ref="L6:M6"/>
    <mergeCell ref="D173:E173"/>
    <mergeCell ref="P188:Q188"/>
    <mergeCell ref="R188:T188"/>
    <mergeCell ref="H189:H190"/>
    <mergeCell ref="I189:I190"/>
    <mergeCell ref="P197:Q197"/>
    <mergeCell ref="R197:T197"/>
    <mergeCell ref="H145:H146"/>
    <mergeCell ref="I145:I146"/>
    <mergeCell ref="P154:Q154"/>
    <mergeCell ref="R154:T154"/>
    <mergeCell ref="P163:Q163"/>
    <mergeCell ref="R163:T163"/>
    <mergeCell ref="M40:N40"/>
    <mergeCell ref="B61:D61"/>
    <mergeCell ref="G61:H61"/>
    <mergeCell ref="G99:I110"/>
    <mergeCell ref="P144:Q144"/>
    <mergeCell ref="R144:T144"/>
    <mergeCell ref="B38:B40"/>
    <mergeCell ref="D40:E40"/>
    <mergeCell ref="A46:K46"/>
    <mergeCell ref="H19:I19"/>
    <mergeCell ref="B30:D30"/>
    <mergeCell ref="E30:G30"/>
    <mergeCell ref="B37:C37"/>
    <mergeCell ref="F37:G37"/>
  </mergeCells>
  <phoneticPr fontId="2" type="noConversion"/>
  <conditionalFormatting sqref="B112:E113">
    <cfRule type="expression" dxfId="7" priority="2">
      <formula>$Q$111=$N$111</formula>
    </cfRule>
  </conditionalFormatting>
  <conditionalFormatting sqref="G112:J113">
    <cfRule type="expression" dxfId="6" priority="1">
      <formula>$Q$113=$N$113</formula>
    </cfRule>
  </conditionalFormatting>
  <dataValidations count="1">
    <dataValidation type="list" allowBlank="1" showInputMessage="1" showErrorMessage="1" sqref="H20" xr:uid="{E0611AB1-55D8-475F-AA68-9C86138780FA}">
      <formula1>$M$41:$M$42</formula1>
    </dataValidation>
  </dataValidations>
  <printOptions horizontalCentered="1"/>
  <pageMargins left="0.51181102362204722" right="0.51181102362204722" top="0.78740157480314965" bottom="0.59055118110236227" header="0.39370078740157483" footer="0.39370078740157483"/>
  <pageSetup paperSize="9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>
    <tabColor rgb="FFC00000"/>
  </sheetPr>
  <dimension ref="A1:U134"/>
  <sheetViews>
    <sheetView view="pageBreakPreview" zoomScale="75" zoomScaleNormal="100" zoomScaleSheetLayoutView="75" workbookViewId="0">
      <selection activeCell="M1" sqref="M1"/>
    </sheetView>
  </sheetViews>
  <sheetFormatPr defaultRowHeight="15.95" customHeight="1" x14ac:dyDescent="0.15"/>
  <cols>
    <col min="1" max="1" width="2.77734375" style="24" customWidth="1"/>
    <col min="2" max="2" width="7.33203125" style="24" customWidth="1"/>
    <col min="3" max="3" width="5.33203125" style="24" customWidth="1"/>
    <col min="4" max="4" width="9.33203125" style="24" customWidth="1"/>
    <col min="5" max="5" width="5.33203125" style="24" customWidth="1"/>
    <col min="6" max="6" width="9.33203125" style="24" customWidth="1"/>
    <col min="7" max="8" width="7.33203125" style="24" customWidth="1"/>
    <col min="9" max="9" width="5.33203125" style="24" customWidth="1"/>
    <col min="10" max="10" width="9.33203125" style="24" customWidth="1"/>
    <col min="11" max="11" width="7.33203125" style="24" customWidth="1"/>
    <col min="12" max="12" width="2.77734375" style="24" customWidth="1"/>
    <col min="13" max="13" width="6.77734375" style="24" customWidth="1"/>
    <col min="14" max="14" width="9.21875" style="24" customWidth="1"/>
    <col min="15" max="15" width="14.6640625" style="24" customWidth="1"/>
    <col min="16" max="16" width="12.21875" style="24" customWidth="1"/>
    <col min="17" max="17" width="6.77734375" style="24" customWidth="1"/>
    <col min="18" max="18" width="8.77734375" style="24" customWidth="1"/>
    <col min="19" max="20" width="6.77734375" style="24" customWidth="1"/>
    <col min="21" max="21" width="9.77734375" style="24" customWidth="1"/>
    <col min="22" max="16384" width="8.88671875" style="24"/>
  </cols>
  <sheetData>
    <row r="1" spans="1:17" ht="15.95" customHeight="1" x14ac:dyDescent="0.15">
      <c r="A1" s="76" t="s">
        <v>507</v>
      </c>
      <c r="M1" s="577">
        <v>1</v>
      </c>
    </row>
    <row r="2" spans="1:17" ht="15.95" customHeight="1" x14ac:dyDescent="0.15">
      <c r="M2" s="186">
        <v>1</v>
      </c>
      <c r="N2" s="348">
        <v>210000</v>
      </c>
      <c r="O2" s="349" t="s">
        <v>883</v>
      </c>
      <c r="P2" s="335"/>
    </row>
    <row r="3" spans="1:17" ht="15.95" customHeight="1" x14ac:dyDescent="0.15">
      <c r="B3" s="77" t="s">
        <v>58</v>
      </c>
      <c r="F3" s="347"/>
      <c r="M3" s="186">
        <v>2</v>
      </c>
      <c r="N3" s="348">
        <v>193000</v>
      </c>
      <c r="O3" s="349" t="s">
        <v>884</v>
      </c>
      <c r="P3" s="335"/>
    </row>
    <row r="5" spans="1:17" ht="15.95" customHeight="1" x14ac:dyDescent="0.15">
      <c r="B5" s="78" t="s">
        <v>59</v>
      </c>
      <c r="C5" s="20" t="s">
        <v>4</v>
      </c>
      <c r="D5" s="182">
        <f>(SUMPRODUCT((N8:N10=N7)*(O7:P7=M7),O8:P10))</f>
        <v>0</v>
      </c>
      <c r="E5" s="43" t="s">
        <v>456</v>
      </c>
      <c r="H5" s="36" t="s">
        <v>69</v>
      </c>
      <c r="I5" s="49"/>
      <c r="M5" s="38"/>
      <c r="P5" s="12"/>
      <c r="Q5" s="12"/>
    </row>
    <row r="6" spans="1:17" ht="15.95" customHeight="1" x14ac:dyDescent="0.15">
      <c r="B6" s="78" t="s">
        <v>67</v>
      </c>
      <c r="C6" s="20" t="s">
        <v>4</v>
      </c>
      <c r="D6" s="167">
        <f>IF(M1=M2,N2,N3)</f>
        <v>210000</v>
      </c>
      <c r="E6" s="43" t="s">
        <v>457</v>
      </c>
      <c r="H6" s="36" t="str">
        <f>IF(M1=M2,O2,O3)</f>
        <v>( Modulus of Elasticity , SS 275 )</v>
      </c>
      <c r="I6" s="43"/>
      <c r="M6" s="694" t="s">
        <v>543</v>
      </c>
      <c r="N6" s="694"/>
      <c r="O6" s="188"/>
      <c r="P6" s="189"/>
      <c r="Q6" s="26"/>
    </row>
    <row r="7" spans="1:17" ht="15.95" customHeight="1" x14ac:dyDescent="0.15">
      <c r="B7" s="78" t="s">
        <v>60</v>
      </c>
      <c r="C7" s="20" t="s">
        <v>4</v>
      </c>
      <c r="D7" s="560">
        <v>1200</v>
      </c>
      <c r="E7" s="43" t="s">
        <v>458</v>
      </c>
      <c r="H7" s="36" t="s">
        <v>70</v>
      </c>
      <c r="M7" s="562" t="s">
        <v>541</v>
      </c>
      <c r="N7" s="563">
        <v>1</v>
      </c>
      <c r="O7" s="185" t="s">
        <v>541</v>
      </c>
      <c r="P7" s="185" t="s">
        <v>542</v>
      </c>
    </row>
    <row r="8" spans="1:17" ht="15.95" customHeight="1" x14ac:dyDescent="0.15">
      <c r="B8" s="78" t="s">
        <v>61</v>
      </c>
      <c r="C8" s="20" t="s">
        <v>4</v>
      </c>
      <c r="D8" s="560">
        <v>1500</v>
      </c>
      <c r="E8" s="43" t="s">
        <v>458</v>
      </c>
      <c r="H8" s="36" t="s">
        <v>71</v>
      </c>
      <c r="M8" s="190" t="s">
        <v>453</v>
      </c>
      <c r="N8" s="186">
        <v>1</v>
      </c>
      <c r="O8" s="187" t="str">
        <f>풍하중!T8</f>
        <v>-</v>
      </c>
      <c r="P8" s="187">
        <f>풍하중!U8</f>
        <v>1.52</v>
      </c>
    </row>
    <row r="9" spans="1:17" ht="15.95" customHeight="1" x14ac:dyDescent="0.15">
      <c r="B9" s="80" t="s">
        <v>392</v>
      </c>
      <c r="C9" s="20" t="s">
        <v>4</v>
      </c>
      <c r="D9" s="560">
        <v>5000</v>
      </c>
      <c r="E9" s="43" t="s">
        <v>458</v>
      </c>
      <c r="H9" s="36" t="s">
        <v>401</v>
      </c>
      <c r="I9" s="43"/>
      <c r="M9" s="190" t="s">
        <v>454</v>
      </c>
      <c r="N9" s="186">
        <v>2</v>
      </c>
      <c r="O9" s="187" t="str">
        <f>풍하중!T9</f>
        <v>-</v>
      </c>
      <c r="P9" s="187">
        <f>풍하중!U9</f>
        <v>-1.1619999999999999</v>
      </c>
    </row>
    <row r="10" spans="1:17" ht="15.95" customHeight="1" x14ac:dyDescent="0.15">
      <c r="B10" s="80" t="s">
        <v>393</v>
      </c>
      <c r="C10" s="20" t="s">
        <v>4</v>
      </c>
      <c r="D10" s="560">
        <v>2600</v>
      </c>
      <c r="E10" s="43" t="s">
        <v>458</v>
      </c>
      <c r="H10" s="36" t="s">
        <v>72</v>
      </c>
      <c r="M10" s="190" t="s">
        <v>455</v>
      </c>
      <c r="N10" s="186">
        <v>3</v>
      </c>
      <c r="O10" s="187" t="str">
        <f>풍하중!T10</f>
        <v>-</v>
      </c>
      <c r="P10" s="187">
        <f>풍하중!U10</f>
        <v>-1.39</v>
      </c>
    </row>
    <row r="12" spans="1:17" ht="15.95" customHeight="1" x14ac:dyDescent="0.15">
      <c r="M12" s="165"/>
      <c r="N12" s="698"/>
      <c r="O12" s="698"/>
    </row>
    <row r="13" spans="1:17" ht="15.95" customHeight="1" x14ac:dyDescent="0.15">
      <c r="M13" s="165"/>
      <c r="N13" s="698"/>
      <c r="O13" s="698"/>
    </row>
    <row r="14" spans="1:17" ht="15.95" customHeight="1" x14ac:dyDescent="0.15">
      <c r="B14" s="36" t="s">
        <v>65</v>
      </c>
      <c r="C14" s="20" t="s">
        <v>4</v>
      </c>
      <c r="D14" s="172">
        <f>D84</f>
        <v>0</v>
      </c>
      <c r="E14" s="43" t="s">
        <v>514</v>
      </c>
      <c r="F14" s="36"/>
      <c r="H14" s="162" t="s">
        <v>66</v>
      </c>
      <c r="I14" s="20" t="s">
        <v>4</v>
      </c>
      <c r="J14" s="108">
        <f>D114</f>
        <v>0</v>
      </c>
      <c r="K14" s="83" t="str">
        <f>IF(J14&lt;1,"O.K","N.G")</f>
        <v>O.K</v>
      </c>
      <c r="N14" s="29"/>
    </row>
    <row r="16" spans="1:17" ht="15.95" customHeight="1" x14ac:dyDescent="0.15">
      <c r="B16" s="36" t="s">
        <v>120</v>
      </c>
      <c r="C16" s="20" t="s">
        <v>4</v>
      </c>
      <c r="D16" s="79">
        <f>D87</f>
        <v>0</v>
      </c>
      <c r="E16" s="43" t="s">
        <v>458</v>
      </c>
      <c r="F16" s="36"/>
    </row>
    <row r="17" spans="2:12" ht="15.95" customHeight="1" x14ac:dyDescent="0.15">
      <c r="B17" s="36" t="s">
        <v>484</v>
      </c>
      <c r="C17" s="20" t="s">
        <v>4</v>
      </c>
      <c r="D17" s="79">
        <f>D128</f>
        <v>27.18333333333333</v>
      </c>
      <c r="E17" s="43" t="s">
        <v>458</v>
      </c>
      <c r="H17" s="80" t="s">
        <v>68</v>
      </c>
      <c r="I17" s="20" t="s">
        <v>4</v>
      </c>
      <c r="J17" s="108">
        <f>D133</f>
        <v>0</v>
      </c>
      <c r="K17" s="83" t="str">
        <f>IF(J17&lt;1,"O.K","N.G")</f>
        <v>O.K</v>
      </c>
    </row>
    <row r="19" spans="2:12" ht="15.95" customHeight="1" x14ac:dyDescent="0.15">
      <c r="B19" s="78"/>
      <c r="C19" s="82"/>
      <c r="D19" s="20"/>
    </row>
    <row r="20" spans="2:12" ht="15.95" customHeight="1" x14ac:dyDescent="0.15">
      <c r="B20" s="77" t="s">
        <v>78</v>
      </c>
      <c r="E20" s="49"/>
    </row>
    <row r="21" spans="2:12" ht="15.95" customHeight="1" thickBot="1" x14ac:dyDescent="0.2">
      <c r="K21" s="81"/>
      <c r="L21" s="81"/>
    </row>
    <row r="22" spans="2:12" ht="15.95" customHeight="1" x14ac:dyDescent="0.15">
      <c r="B22" s="739"/>
      <c r="C22" s="696"/>
      <c r="D22" s="696"/>
      <c r="E22" s="697"/>
      <c r="F22" s="47"/>
      <c r="G22" s="138"/>
      <c r="H22" s="139"/>
      <c r="I22" s="139"/>
      <c r="J22" s="139"/>
      <c r="K22" s="140"/>
    </row>
    <row r="23" spans="2:12" ht="15.95" customHeight="1" x14ac:dyDescent="0.15">
      <c r="B23" s="740"/>
      <c r="C23" s="698"/>
      <c r="D23" s="698"/>
      <c r="E23" s="699"/>
      <c r="F23" s="47"/>
      <c r="G23" s="91"/>
      <c r="K23" s="110"/>
    </row>
    <row r="24" spans="2:12" ht="15.95" customHeight="1" x14ac:dyDescent="0.15">
      <c r="B24" s="740"/>
      <c r="C24" s="698"/>
      <c r="D24" s="698"/>
      <c r="E24" s="699"/>
      <c r="F24" s="47"/>
      <c r="G24" s="91"/>
      <c r="K24" s="110"/>
    </row>
    <row r="25" spans="2:12" ht="15.95" customHeight="1" x14ac:dyDescent="0.15">
      <c r="B25" s="740"/>
      <c r="C25" s="698"/>
      <c r="D25" s="698"/>
      <c r="E25" s="699"/>
      <c r="F25" s="47"/>
      <c r="G25" s="91"/>
      <c r="K25" s="110"/>
    </row>
    <row r="26" spans="2:12" ht="15.95" customHeight="1" x14ac:dyDescent="0.15">
      <c r="B26" s="740"/>
      <c r="C26" s="698"/>
      <c r="D26" s="698"/>
      <c r="E26" s="699"/>
      <c r="F26" s="47"/>
      <c r="G26" s="91"/>
      <c r="K26" s="110"/>
    </row>
    <row r="27" spans="2:12" ht="15.95" customHeight="1" x14ac:dyDescent="0.15">
      <c r="B27" s="740"/>
      <c r="C27" s="698"/>
      <c r="D27" s="698"/>
      <c r="E27" s="699"/>
      <c r="F27" s="47"/>
      <c r="G27" s="91"/>
      <c r="K27" s="110"/>
    </row>
    <row r="28" spans="2:12" ht="15.95" customHeight="1" x14ac:dyDescent="0.15">
      <c r="B28" s="740"/>
      <c r="C28" s="698"/>
      <c r="D28" s="698"/>
      <c r="E28" s="699"/>
      <c r="F28" s="47"/>
      <c r="G28" s="91"/>
      <c r="K28" s="110"/>
    </row>
    <row r="29" spans="2:12" ht="15.95" customHeight="1" x14ac:dyDescent="0.15">
      <c r="B29" s="740"/>
      <c r="C29" s="698"/>
      <c r="D29" s="698"/>
      <c r="E29" s="699"/>
      <c r="F29" s="47"/>
      <c r="G29" s="91"/>
      <c r="K29" s="110"/>
    </row>
    <row r="30" spans="2:12" ht="15.95" customHeight="1" x14ac:dyDescent="0.15">
      <c r="B30" s="740"/>
      <c r="C30" s="698"/>
      <c r="D30" s="698"/>
      <c r="E30" s="699"/>
      <c r="F30" s="47"/>
      <c r="G30" s="91"/>
      <c r="K30" s="110"/>
    </row>
    <row r="31" spans="2:12" ht="15.95" customHeight="1" x14ac:dyDescent="0.15">
      <c r="B31" s="740"/>
      <c r="C31" s="698"/>
      <c r="D31" s="698"/>
      <c r="E31" s="699"/>
      <c r="F31" s="47"/>
      <c r="G31" s="91"/>
      <c r="K31" s="110"/>
    </row>
    <row r="32" spans="2:12" ht="15.95" customHeight="1" x14ac:dyDescent="0.15">
      <c r="B32" s="740"/>
      <c r="C32" s="698"/>
      <c r="D32" s="698"/>
      <c r="E32" s="699"/>
      <c r="F32" s="47"/>
      <c r="G32" s="91"/>
      <c r="K32" s="110"/>
    </row>
    <row r="33" spans="1:21" ht="15.95" customHeight="1" x14ac:dyDescent="0.15">
      <c r="B33" s="740"/>
      <c r="C33" s="698"/>
      <c r="D33" s="698"/>
      <c r="E33" s="699"/>
      <c r="F33" s="47"/>
      <c r="G33" s="91"/>
      <c r="K33" s="110"/>
    </row>
    <row r="34" spans="1:21" ht="15.95" customHeight="1" x14ac:dyDescent="0.15">
      <c r="B34" s="91"/>
      <c r="E34" s="110"/>
      <c r="F34" s="47"/>
      <c r="G34" s="91"/>
      <c r="K34" s="110"/>
    </row>
    <row r="35" spans="1:21" ht="15.95" customHeight="1" x14ac:dyDescent="0.15">
      <c r="B35" s="111" t="str">
        <f>CONCATENATE("  * B - ",D37," × ",D38," × ",D39," × ",D40)</f>
        <v xml:space="preserve">  * B - 100 × 50 × 2 × 2</v>
      </c>
      <c r="E35" s="110"/>
      <c r="F35" s="47"/>
      <c r="G35" s="91"/>
      <c r="K35" s="110"/>
    </row>
    <row r="36" spans="1:21" ht="15.95" customHeight="1" x14ac:dyDescent="0.15">
      <c r="B36" s="91"/>
      <c r="E36" s="110"/>
      <c r="F36" s="47"/>
      <c r="G36" s="91"/>
      <c r="K36" s="110"/>
    </row>
    <row r="37" spans="1:21" ht="15.95" customHeight="1" x14ac:dyDescent="0.15">
      <c r="B37" s="71" t="s">
        <v>73</v>
      </c>
      <c r="C37" s="20" t="s">
        <v>4</v>
      </c>
      <c r="D37" s="565">
        <v>100</v>
      </c>
      <c r="E37" s="86" t="s">
        <v>496</v>
      </c>
      <c r="F37" s="47"/>
      <c r="G37" s="91"/>
      <c r="K37" s="110"/>
    </row>
    <row r="38" spans="1:21" ht="15.95" customHeight="1" x14ac:dyDescent="0.15">
      <c r="B38" s="71" t="s">
        <v>46</v>
      </c>
      <c r="C38" s="20" t="s">
        <v>4</v>
      </c>
      <c r="D38" s="565">
        <v>50</v>
      </c>
      <c r="E38" s="86" t="s">
        <v>496</v>
      </c>
      <c r="F38" s="47"/>
      <c r="G38" s="91"/>
      <c r="K38" s="110"/>
    </row>
    <row r="39" spans="1:21" ht="15.95" customHeight="1" x14ac:dyDescent="0.15">
      <c r="B39" s="71" t="s">
        <v>74</v>
      </c>
      <c r="C39" s="20" t="s">
        <v>4</v>
      </c>
      <c r="D39" s="565">
        <v>2</v>
      </c>
      <c r="E39" s="86" t="s">
        <v>496</v>
      </c>
      <c r="F39" s="47"/>
      <c r="G39" s="91"/>
      <c r="K39" s="110"/>
      <c r="L39" s="81"/>
    </row>
    <row r="40" spans="1:21" ht="15.95" customHeight="1" x14ac:dyDescent="0.15">
      <c r="B40" s="71" t="s">
        <v>75</v>
      </c>
      <c r="C40" s="20" t="s">
        <v>4</v>
      </c>
      <c r="D40" s="565">
        <v>2</v>
      </c>
      <c r="E40" s="86" t="s">
        <v>496</v>
      </c>
      <c r="F40" s="47"/>
      <c r="G40" s="91"/>
      <c r="K40" s="110"/>
      <c r="L40" s="81"/>
      <c r="M40" s="81"/>
      <c r="N40" s="112" t="s">
        <v>83</v>
      </c>
      <c r="O40" s="31" t="s">
        <v>4</v>
      </c>
      <c r="P40" s="113">
        <f>D37*D38-D41*D42</f>
        <v>584</v>
      </c>
      <c r="Q40" s="114" t="s">
        <v>504</v>
      </c>
      <c r="U40" s="44"/>
    </row>
    <row r="41" spans="1:21" ht="15.95" customHeight="1" x14ac:dyDescent="0.15">
      <c r="B41" s="71" t="s">
        <v>76</v>
      </c>
      <c r="C41" s="20" t="s">
        <v>4</v>
      </c>
      <c r="D41" s="23">
        <f>D37-2*D40</f>
        <v>96</v>
      </c>
      <c r="E41" s="86" t="s">
        <v>496</v>
      </c>
      <c r="F41" s="47"/>
      <c r="G41" s="91"/>
      <c r="K41" s="110"/>
      <c r="L41" s="81"/>
      <c r="M41" s="81"/>
      <c r="N41" s="112" t="s">
        <v>81</v>
      </c>
      <c r="O41" s="31" t="s">
        <v>4</v>
      </c>
      <c r="P41" s="115" t="s">
        <v>79</v>
      </c>
      <c r="Q41" s="114"/>
      <c r="U41" s="44"/>
    </row>
    <row r="42" spans="1:21" ht="15.95" customHeight="1" x14ac:dyDescent="0.15">
      <c r="B42" s="71" t="s">
        <v>77</v>
      </c>
      <c r="C42" s="20" t="s">
        <v>4</v>
      </c>
      <c r="D42" s="23">
        <f>D38-2*D39</f>
        <v>46</v>
      </c>
      <c r="E42" s="86" t="s">
        <v>496</v>
      </c>
      <c r="F42" s="47"/>
      <c r="G42" s="91"/>
      <c r="K42" s="110"/>
      <c r="L42" s="81"/>
      <c r="M42" s="81"/>
      <c r="N42" s="116"/>
      <c r="O42" s="31" t="s">
        <v>4</v>
      </c>
      <c r="P42" s="117">
        <f>D41/D39</f>
        <v>48</v>
      </c>
      <c r="Q42" s="114"/>
      <c r="U42" s="44"/>
    </row>
    <row r="43" spans="1:21" ht="15.95" customHeight="1" x14ac:dyDescent="0.15">
      <c r="B43" s="71" t="s">
        <v>6</v>
      </c>
      <c r="C43" s="20" t="s">
        <v>4</v>
      </c>
      <c r="D43" s="176">
        <f>(D38*D37^3-D42*D41^3)/12</f>
        <v>775178.66666666663</v>
      </c>
      <c r="E43" s="86" t="s">
        <v>500</v>
      </c>
      <c r="F43" s="47"/>
      <c r="G43" s="91"/>
      <c r="K43" s="110"/>
      <c r="L43" s="81"/>
      <c r="M43" s="81"/>
      <c r="N43" s="112" t="s">
        <v>82</v>
      </c>
      <c r="O43" s="31" t="s">
        <v>4</v>
      </c>
      <c r="P43" s="115" t="s">
        <v>80</v>
      </c>
      <c r="Q43" s="114"/>
      <c r="U43" s="44"/>
    </row>
    <row r="44" spans="1:21" ht="15.95" customHeight="1" thickBot="1" x14ac:dyDescent="0.2">
      <c r="B44" s="87" t="s">
        <v>38</v>
      </c>
      <c r="C44" s="33" t="s">
        <v>4</v>
      </c>
      <c r="D44" s="183">
        <f>D43/(D37/2)</f>
        <v>15503.573333333332</v>
      </c>
      <c r="E44" s="88" t="s">
        <v>501</v>
      </c>
      <c r="F44" s="47"/>
      <c r="G44" s="94"/>
      <c r="H44" s="93"/>
      <c r="I44" s="93"/>
      <c r="J44" s="93"/>
      <c r="K44" s="141"/>
      <c r="L44" s="81"/>
      <c r="M44" s="81"/>
      <c r="N44" s="116"/>
      <c r="O44" s="31" t="s">
        <v>4</v>
      </c>
      <c r="P44" s="117">
        <f>D42/D40</f>
        <v>23</v>
      </c>
      <c r="Q44" s="114"/>
      <c r="U44" s="44"/>
    </row>
    <row r="45" spans="1:21" ht="15.95" customHeight="1" x14ac:dyDescent="0.15">
      <c r="B45" s="47"/>
      <c r="C45" s="47"/>
      <c r="D45" s="47"/>
      <c r="E45" s="47"/>
      <c r="F45" s="47"/>
      <c r="L45" s="81"/>
      <c r="U45" s="44"/>
    </row>
    <row r="46" spans="1:21" ht="15.95" customHeight="1" x14ac:dyDescent="0.15">
      <c r="B46" s="708" t="s">
        <v>1000</v>
      </c>
      <c r="C46" s="708"/>
      <c r="D46" s="708"/>
      <c r="E46" s="708"/>
      <c r="F46" s="708"/>
      <c r="G46" s="708"/>
      <c r="H46" s="708"/>
      <c r="I46" s="708"/>
      <c r="J46" s="708"/>
      <c r="K46" s="708"/>
      <c r="L46" s="81"/>
    </row>
    <row r="47" spans="1:21" s="12" customFormat="1" ht="15.95" hidden="1" customHeight="1" x14ac:dyDescent="0.15">
      <c r="A47" s="129"/>
      <c r="B47" s="129" t="s">
        <v>384</v>
      </c>
    </row>
    <row r="48" spans="1:21" s="12" customFormat="1" ht="15.95" hidden="1" customHeight="1" x14ac:dyDescent="0.15"/>
    <row r="49" spans="1:9" s="12" customFormat="1" ht="15.95" hidden="1" customHeight="1" x14ac:dyDescent="0.15">
      <c r="B49" s="130"/>
    </row>
    <row r="50" spans="1:9" s="12" customFormat="1" ht="15.95" hidden="1" customHeight="1" x14ac:dyDescent="0.15">
      <c r="A50" s="131"/>
    </row>
    <row r="51" spans="1:9" s="12" customFormat="1" ht="15.95" hidden="1" customHeight="1" x14ac:dyDescent="0.15">
      <c r="A51" s="131"/>
    </row>
    <row r="52" spans="1:9" s="12" customFormat="1" ht="15.95" hidden="1" customHeight="1" x14ac:dyDescent="0.15">
      <c r="A52" s="131"/>
    </row>
    <row r="53" spans="1:9" s="12" customFormat="1" ht="15.95" hidden="1" customHeight="1" x14ac:dyDescent="0.15">
      <c r="A53" s="131"/>
    </row>
    <row r="54" spans="1:9" s="12" customFormat="1" ht="15.95" hidden="1" customHeight="1" x14ac:dyDescent="0.15">
      <c r="A54" s="131"/>
      <c r="G54" s="36"/>
    </row>
    <row r="55" spans="1:9" s="12" customFormat="1" ht="15.95" hidden="1" customHeight="1" x14ac:dyDescent="0.15">
      <c r="A55" s="131"/>
      <c r="G55" s="98"/>
    </row>
    <row r="56" spans="1:9" s="12" customFormat="1" ht="15.95" hidden="1" customHeight="1" x14ac:dyDescent="0.15">
      <c r="A56" s="131"/>
      <c r="G56" s="36"/>
    </row>
    <row r="57" spans="1:9" s="12" customFormat="1" ht="15.95" hidden="1" customHeight="1" x14ac:dyDescent="0.15">
      <c r="A57" s="131"/>
      <c r="G57" s="36"/>
    </row>
    <row r="58" spans="1:9" s="12" customFormat="1" ht="15.95" hidden="1" customHeight="1" x14ac:dyDescent="0.15">
      <c r="A58" s="131"/>
      <c r="G58" s="36"/>
      <c r="I58" s="131"/>
    </row>
    <row r="59" spans="1:9" s="12" customFormat="1" ht="15.95" hidden="1" customHeight="1" x14ac:dyDescent="0.15">
      <c r="B59" s="24" t="s">
        <v>91</v>
      </c>
      <c r="G59" s="36"/>
    </row>
    <row r="60" spans="1:9" s="12" customFormat="1" ht="15.95" hidden="1" customHeight="1" x14ac:dyDescent="0.15">
      <c r="G60" s="78"/>
    </row>
    <row r="61" spans="1:9" s="12" customFormat="1" ht="15.95" hidden="1" customHeight="1" x14ac:dyDescent="0.15">
      <c r="B61" s="36" t="s">
        <v>85</v>
      </c>
      <c r="C61" s="20" t="s">
        <v>4</v>
      </c>
      <c r="D61" s="36" t="s">
        <v>86</v>
      </c>
      <c r="E61" s="20" t="s">
        <v>4</v>
      </c>
      <c r="F61" s="36" t="s">
        <v>388</v>
      </c>
      <c r="G61" s="20" t="s">
        <v>9</v>
      </c>
      <c r="H61" s="36" t="s">
        <v>101</v>
      </c>
      <c r="I61" s="36"/>
    </row>
    <row r="62" spans="1:9" s="12" customFormat="1" ht="15.95" hidden="1" customHeight="1" x14ac:dyDescent="0.15">
      <c r="B62" s="36" t="s">
        <v>385</v>
      </c>
      <c r="C62" s="20" t="s">
        <v>4</v>
      </c>
      <c r="D62" s="36" t="s">
        <v>389</v>
      </c>
      <c r="E62" s="20" t="s">
        <v>4</v>
      </c>
      <c r="F62" s="36" t="s">
        <v>388</v>
      </c>
      <c r="G62" s="20" t="s">
        <v>9</v>
      </c>
      <c r="H62" s="36" t="s">
        <v>386</v>
      </c>
      <c r="I62" s="36"/>
    </row>
    <row r="63" spans="1:9" s="12" customFormat="1" ht="15.95" hidden="1" customHeight="1" x14ac:dyDescent="0.15">
      <c r="B63" s="36" t="s">
        <v>65</v>
      </c>
      <c r="C63" s="20" t="s">
        <v>4</v>
      </c>
      <c r="D63" s="36" t="s">
        <v>387</v>
      </c>
      <c r="E63" s="36"/>
      <c r="G63" s="20" t="s">
        <v>9</v>
      </c>
      <c r="H63" s="36" t="s">
        <v>102</v>
      </c>
      <c r="I63" s="36"/>
    </row>
    <row r="64" spans="1:9" s="12" customFormat="1" ht="15.95" hidden="1" customHeight="1" x14ac:dyDescent="0.15">
      <c r="B64" s="78" t="s">
        <v>120</v>
      </c>
      <c r="C64" s="20" t="s">
        <v>4</v>
      </c>
      <c r="D64" s="36" t="s">
        <v>390</v>
      </c>
      <c r="E64" s="36"/>
      <c r="G64" s="20" t="s">
        <v>9</v>
      </c>
      <c r="H64" s="36" t="s">
        <v>103</v>
      </c>
      <c r="I64" s="36"/>
    </row>
    <row r="65" spans="1:13" s="12" customFormat="1" ht="15.95" hidden="1" customHeight="1" x14ac:dyDescent="0.15">
      <c r="H65" s="20"/>
      <c r="I65" s="36"/>
    </row>
    <row r="66" spans="1:13" s="12" customFormat="1" ht="15.95" hidden="1" customHeight="1" x14ac:dyDescent="0.15"/>
    <row r="67" spans="1:13" s="12" customFormat="1" ht="15.95" hidden="1" customHeight="1" x14ac:dyDescent="0.15">
      <c r="A67" s="131"/>
      <c r="B67" s="24" t="s">
        <v>92</v>
      </c>
    </row>
    <row r="68" spans="1:13" s="12" customFormat="1" ht="15.95" hidden="1" customHeight="1" x14ac:dyDescent="0.15"/>
    <row r="69" spans="1:13" s="12" customFormat="1" ht="15.95" hidden="1" customHeight="1" x14ac:dyDescent="0.15">
      <c r="B69" s="136" t="s">
        <v>2</v>
      </c>
      <c r="C69" s="27" t="s">
        <v>4</v>
      </c>
      <c r="D69" s="167">
        <f>D9</f>
        <v>5000</v>
      </c>
      <c r="E69" s="12" t="s">
        <v>499</v>
      </c>
      <c r="G69" s="20" t="s">
        <v>9</v>
      </c>
      <c r="H69" s="36" t="s">
        <v>404</v>
      </c>
      <c r="J69" s="36"/>
      <c r="K69" s="36"/>
    </row>
    <row r="70" spans="1:13" s="12" customFormat="1" ht="15.95" hidden="1" customHeight="1" x14ac:dyDescent="0.15">
      <c r="B70" s="137" t="s">
        <v>3</v>
      </c>
      <c r="C70" s="27" t="s">
        <v>4</v>
      </c>
      <c r="D70" s="167">
        <f>(D7+D8)/2</f>
        <v>1350</v>
      </c>
      <c r="E70" s="12" t="s">
        <v>499</v>
      </c>
      <c r="G70" s="20" t="s">
        <v>9</v>
      </c>
      <c r="H70" s="36" t="s">
        <v>391</v>
      </c>
      <c r="J70" s="20"/>
      <c r="K70" s="36"/>
    </row>
    <row r="71" spans="1:13" s="12" customFormat="1" ht="15.95" hidden="1" customHeight="1" x14ac:dyDescent="0.15">
      <c r="B71" s="137" t="s">
        <v>11</v>
      </c>
      <c r="C71" s="27" t="s">
        <v>4</v>
      </c>
      <c r="D71" s="184">
        <f>ABS(D5*D70/10^3)</f>
        <v>0</v>
      </c>
      <c r="E71" s="24" t="s">
        <v>477</v>
      </c>
      <c r="F71" s="130"/>
      <c r="G71" s="20" t="s">
        <v>9</v>
      </c>
      <c r="H71" s="36" t="s">
        <v>382</v>
      </c>
      <c r="J71" s="20"/>
      <c r="K71" s="36"/>
    </row>
    <row r="72" spans="1:13" s="12" customFormat="1" ht="15.95" hidden="1" customHeight="1" x14ac:dyDescent="0.15">
      <c r="B72" s="137" t="s">
        <v>5</v>
      </c>
      <c r="C72" s="27" t="s">
        <v>4</v>
      </c>
      <c r="D72" s="167">
        <f>D6</f>
        <v>210000</v>
      </c>
      <c r="E72" s="43" t="s">
        <v>457</v>
      </c>
      <c r="G72" s="20" t="s">
        <v>9</v>
      </c>
      <c r="H72" s="36" t="s">
        <v>95</v>
      </c>
      <c r="J72" s="20"/>
      <c r="K72" s="36"/>
    </row>
    <row r="73" spans="1:13" s="12" customFormat="1" ht="15.95" hidden="1" customHeight="1" x14ac:dyDescent="0.15">
      <c r="B73" s="137" t="s">
        <v>10</v>
      </c>
      <c r="C73" s="27" t="s">
        <v>4</v>
      </c>
      <c r="D73" s="167">
        <f>D43</f>
        <v>775178.66666666663</v>
      </c>
      <c r="E73" s="12" t="s">
        <v>494</v>
      </c>
      <c r="G73" s="20" t="s">
        <v>9</v>
      </c>
      <c r="H73" s="36" t="s">
        <v>96</v>
      </c>
      <c r="J73" s="20"/>
      <c r="K73" s="36"/>
    </row>
    <row r="74" spans="1:13" s="12" customFormat="1" ht="15.95" hidden="1" customHeight="1" x14ac:dyDescent="0.15">
      <c r="J74" s="20"/>
      <c r="K74" s="36"/>
    </row>
    <row r="75" spans="1:13" s="12" customFormat="1" ht="15.95" hidden="1" customHeight="1" x14ac:dyDescent="0.15">
      <c r="A75" s="25"/>
      <c r="B75" s="24" t="s">
        <v>104</v>
      </c>
      <c r="J75" s="20"/>
      <c r="K75" s="36"/>
    </row>
    <row r="76" spans="1:13" s="12" customFormat="1" ht="15.95" hidden="1" customHeight="1" x14ac:dyDescent="0.15">
      <c r="J76" s="20"/>
      <c r="K76" s="36"/>
      <c r="L76" s="133"/>
      <c r="M76" s="131"/>
    </row>
    <row r="77" spans="1:13" s="12" customFormat="1" ht="15.95" hidden="1" customHeight="1" x14ac:dyDescent="0.15">
      <c r="A77" s="12" t="s">
        <v>1</v>
      </c>
      <c r="B77" s="36" t="s">
        <v>85</v>
      </c>
      <c r="C77" s="27" t="s">
        <v>4</v>
      </c>
      <c r="D77" s="36" t="s">
        <v>388</v>
      </c>
      <c r="G77" s="36"/>
      <c r="K77" s="36"/>
    </row>
    <row r="78" spans="1:13" s="12" customFormat="1" ht="15.95" hidden="1" customHeight="1" x14ac:dyDescent="0.15">
      <c r="B78" s="130"/>
      <c r="C78" s="27" t="s">
        <v>4</v>
      </c>
      <c r="D78" s="172">
        <f>D71*D69/2</f>
        <v>0</v>
      </c>
      <c r="E78" s="24" t="s">
        <v>495</v>
      </c>
      <c r="G78" s="36"/>
      <c r="K78" s="36"/>
    </row>
    <row r="79" spans="1:13" s="12" customFormat="1" ht="15.95" hidden="1" customHeight="1" x14ac:dyDescent="0.15">
      <c r="B79" s="131"/>
      <c r="C79" s="134"/>
      <c r="D79" s="132"/>
      <c r="G79" s="36"/>
      <c r="K79" s="36"/>
    </row>
    <row r="80" spans="1:13" s="12" customFormat="1" ht="15.95" hidden="1" customHeight="1" x14ac:dyDescent="0.15">
      <c r="B80" s="36" t="s">
        <v>385</v>
      </c>
      <c r="C80" s="27" t="s">
        <v>4</v>
      </c>
      <c r="D80" s="36" t="s">
        <v>388</v>
      </c>
      <c r="G80" s="78"/>
      <c r="K80" s="36"/>
    </row>
    <row r="81" spans="2:21" s="12" customFormat="1" ht="15.95" hidden="1" customHeight="1" x14ac:dyDescent="0.15">
      <c r="B81" s="135"/>
      <c r="C81" s="27" t="s">
        <v>4</v>
      </c>
      <c r="D81" s="172">
        <f>D71*D69/2</f>
        <v>0</v>
      </c>
      <c r="E81" s="24" t="s">
        <v>495</v>
      </c>
      <c r="K81" s="36"/>
    </row>
    <row r="82" spans="2:21" s="12" customFormat="1" ht="15.95" hidden="1" customHeight="1" x14ac:dyDescent="0.15">
      <c r="B82" s="135"/>
      <c r="C82" s="134"/>
      <c r="D82" s="30"/>
      <c r="K82" s="36"/>
    </row>
    <row r="83" spans="2:21" s="12" customFormat="1" ht="15.95" hidden="1" customHeight="1" x14ac:dyDescent="0.15">
      <c r="B83" s="36" t="s">
        <v>65</v>
      </c>
      <c r="C83" s="27" t="s">
        <v>4</v>
      </c>
      <c r="D83" s="36" t="s">
        <v>1044</v>
      </c>
      <c r="F83" s="36"/>
      <c r="K83" s="36"/>
      <c r="N83" s="172"/>
      <c r="O83" s="43"/>
    </row>
    <row r="84" spans="2:21" s="12" customFormat="1" ht="15.95" hidden="1" customHeight="1" x14ac:dyDescent="0.15">
      <c r="C84" s="27" t="s">
        <v>4</v>
      </c>
      <c r="D84" s="172">
        <f>0.65*D71*D69^2/8</f>
        <v>0</v>
      </c>
      <c r="E84" s="43" t="s">
        <v>497</v>
      </c>
      <c r="F84" s="36"/>
      <c r="K84" s="36"/>
      <c r="N84" s="334"/>
    </row>
    <row r="85" spans="2:21" s="12" customFormat="1" ht="15.95" hidden="1" customHeight="1" x14ac:dyDescent="0.15">
      <c r="B85" s="135"/>
      <c r="C85" s="134"/>
      <c r="D85" s="30"/>
      <c r="K85" s="36"/>
    </row>
    <row r="86" spans="2:21" s="12" customFormat="1" ht="15.95" hidden="1" customHeight="1" x14ac:dyDescent="0.15">
      <c r="B86" s="78" t="s">
        <v>120</v>
      </c>
      <c r="C86" s="27" t="s">
        <v>4</v>
      </c>
      <c r="D86" s="36" t="s">
        <v>1043</v>
      </c>
      <c r="K86" s="36"/>
      <c r="N86" s="332"/>
      <c r="O86" s="43"/>
    </row>
    <row r="87" spans="2:21" s="12" customFormat="1" ht="15.95" hidden="1" customHeight="1" x14ac:dyDescent="0.15">
      <c r="B87" s="135"/>
      <c r="C87" s="27" t="s">
        <v>4</v>
      </c>
      <c r="D87" s="79">
        <f>0.65*(5*D71*D69^4)/(384*D72*D73)</f>
        <v>0</v>
      </c>
      <c r="E87" s="24" t="s">
        <v>499</v>
      </c>
      <c r="K87" s="36"/>
      <c r="N87" s="334"/>
    </row>
    <row r="88" spans="2:21" ht="15.95" hidden="1" customHeight="1" x14ac:dyDescent="0.15">
      <c r="B88" s="127"/>
      <c r="C88" s="20"/>
      <c r="D88" s="127"/>
      <c r="H88" s="43"/>
      <c r="K88" s="36"/>
    </row>
    <row r="89" spans="2:21" ht="15.95" hidden="1" customHeight="1" x14ac:dyDescent="0.15">
      <c r="C89" s="20"/>
      <c r="D89" s="30"/>
      <c r="E89" s="43"/>
      <c r="K89" s="36"/>
    </row>
    <row r="90" spans="2:21" ht="15.95" hidden="1" customHeight="1" x14ac:dyDescent="0.15">
      <c r="B90" s="128"/>
      <c r="C90" s="20"/>
      <c r="D90" s="127"/>
      <c r="H90" s="43"/>
      <c r="J90" s="43"/>
      <c r="K90" s="36"/>
    </row>
    <row r="91" spans="2:21" ht="15.95" hidden="1" customHeight="1" x14ac:dyDescent="0.15">
      <c r="B91" s="68"/>
      <c r="C91" s="20"/>
      <c r="D91" s="34"/>
      <c r="E91" s="43"/>
      <c r="K91" s="36"/>
    </row>
    <row r="92" spans="2:21" ht="15.95" hidden="1" customHeight="1" x14ac:dyDescent="0.15">
      <c r="B92" s="68"/>
      <c r="C92" s="20"/>
      <c r="K92" s="36"/>
    </row>
    <row r="93" spans="2:21" s="47" customFormat="1" ht="15.95" hidden="1" customHeight="1" x14ac:dyDescent="0.15">
      <c r="B93" s="21" t="s">
        <v>144</v>
      </c>
    </row>
    <row r="94" spans="2:21" s="47" customFormat="1" ht="15.95" hidden="1" customHeight="1" x14ac:dyDescent="0.15">
      <c r="D94" s="52"/>
      <c r="O94" s="74"/>
      <c r="Q94" s="74"/>
      <c r="S94" s="74"/>
      <c r="U94" s="74"/>
    </row>
    <row r="95" spans="2:21" s="47" customFormat="1" ht="15.95" hidden="1" customHeight="1" x14ac:dyDescent="0.15">
      <c r="B95" s="22" t="s">
        <v>65</v>
      </c>
      <c r="C95" s="27" t="s">
        <v>4</v>
      </c>
      <c r="D95" s="167">
        <f>D84</f>
        <v>0</v>
      </c>
      <c r="E95" s="12" t="s">
        <v>498</v>
      </c>
      <c r="F95" s="12"/>
      <c r="G95" s="27" t="s">
        <v>9</v>
      </c>
      <c r="H95" s="22" t="s">
        <v>137</v>
      </c>
      <c r="I95" s="12"/>
      <c r="J95" s="12"/>
      <c r="K95" s="12"/>
      <c r="L95" s="12"/>
      <c r="M95" s="12"/>
      <c r="N95" s="12"/>
      <c r="O95" s="12"/>
    </row>
    <row r="96" spans="2:21" s="47" customFormat="1" ht="15.95" hidden="1" customHeight="1" x14ac:dyDescent="0.15">
      <c r="B96" s="35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</row>
    <row r="97" spans="2:16" s="47" customFormat="1" ht="15.95" hidden="1" customHeight="1" x14ac:dyDescent="0.15">
      <c r="B97" s="22" t="s">
        <v>134</v>
      </c>
      <c r="C97" s="27" t="s">
        <v>4</v>
      </c>
      <c r="D97" s="167">
        <f>D44</f>
        <v>15503.573333333332</v>
      </c>
      <c r="E97" s="12" t="s">
        <v>502</v>
      </c>
      <c r="F97" s="12"/>
      <c r="G97" s="27" t="s">
        <v>9</v>
      </c>
      <c r="H97" s="22" t="s">
        <v>138</v>
      </c>
      <c r="I97" s="12"/>
      <c r="J97" s="12"/>
      <c r="K97" s="12"/>
      <c r="L97" s="12"/>
      <c r="M97" s="12"/>
      <c r="N97" s="12"/>
      <c r="O97" s="12"/>
    </row>
    <row r="98" spans="2:16" s="47" customFormat="1" ht="15.95" hidden="1" customHeight="1" x14ac:dyDescent="0.15">
      <c r="B98" s="12"/>
      <c r="C98" s="12"/>
      <c r="D98" s="24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</row>
    <row r="99" spans="2:16" s="47" customFormat="1" ht="15.95" hidden="1" customHeight="1" x14ac:dyDescent="0.15">
      <c r="B99" s="12"/>
      <c r="C99" s="27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</row>
    <row r="100" spans="2:16" s="47" customFormat="1" ht="15.95" hidden="1" customHeight="1" x14ac:dyDescent="0.15">
      <c r="B100" s="35" t="s">
        <v>132</v>
      </c>
      <c r="C100" s="12"/>
      <c r="D100" s="28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</row>
    <row r="101" spans="2:16" s="47" customFormat="1" ht="15.95" hidden="1" customHeight="1" x14ac:dyDescent="0.15">
      <c r="B101" s="12"/>
      <c r="C101" s="12"/>
      <c r="D101" s="24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</row>
    <row r="102" spans="2:16" s="47" customFormat="1" ht="15.95" hidden="1" customHeight="1" x14ac:dyDescent="0.15">
      <c r="B102" s="32" t="s">
        <v>135</v>
      </c>
      <c r="C102" s="20" t="s">
        <v>4</v>
      </c>
      <c r="D102" s="36" t="s">
        <v>1045</v>
      </c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</row>
    <row r="103" spans="2:16" s="47" customFormat="1" ht="15.95" hidden="1" customHeight="1" x14ac:dyDescent="0.15">
      <c r="B103" s="12"/>
      <c r="C103" s="27" t="s">
        <v>4</v>
      </c>
      <c r="D103" s="29">
        <f>D95/D97</f>
        <v>0</v>
      </c>
      <c r="E103" s="12" t="s">
        <v>503</v>
      </c>
      <c r="F103" s="12"/>
      <c r="G103" s="12"/>
      <c r="H103" s="12"/>
      <c r="I103" s="12"/>
      <c r="J103" s="12"/>
      <c r="K103" s="12"/>
      <c r="L103" s="12"/>
      <c r="M103" s="12"/>
      <c r="N103" s="12"/>
      <c r="O103" s="12"/>
    </row>
    <row r="104" spans="2:16" s="47" customFormat="1" ht="15.95" hidden="1" customHeight="1" x14ac:dyDescent="0.15">
      <c r="B104" s="12"/>
      <c r="C104" s="12"/>
      <c r="D104" s="24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</row>
    <row r="105" spans="2:16" s="47" customFormat="1" ht="15.95" hidden="1" customHeight="1" x14ac:dyDescent="0.15">
      <c r="B105" s="12"/>
      <c r="C105" s="12"/>
      <c r="D105" s="24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</row>
    <row r="106" spans="2:16" s="47" customFormat="1" ht="15.95" hidden="1" customHeight="1" x14ac:dyDescent="0.15">
      <c r="B106" s="35" t="s">
        <v>133</v>
      </c>
      <c r="C106" s="12"/>
      <c r="D106" s="12"/>
      <c r="E106" s="24"/>
      <c r="F106" s="12"/>
      <c r="G106" s="12"/>
      <c r="H106" s="12"/>
      <c r="I106" s="12"/>
      <c r="J106" s="12"/>
      <c r="K106" s="12"/>
      <c r="L106" s="12"/>
      <c r="M106" s="12"/>
      <c r="N106" s="12"/>
      <c r="O106" s="12"/>
    </row>
    <row r="107" spans="2:16" s="47" customFormat="1" ht="15.95" hidden="1" customHeight="1" x14ac:dyDescent="0.15">
      <c r="B107" s="35"/>
      <c r="C107" s="12"/>
      <c r="D107" s="12"/>
      <c r="E107" s="12"/>
      <c r="F107" s="12"/>
      <c r="G107" s="27"/>
      <c r="H107" s="22"/>
      <c r="I107" s="12"/>
      <c r="J107" s="12"/>
      <c r="K107" s="12"/>
      <c r="L107" s="12"/>
      <c r="M107" s="352">
        <f>M1</f>
        <v>1</v>
      </c>
      <c r="N107" s="12"/>
      <c r="P107" s="12"/>
    </row>
    <row r="108" spans="2:16" s="47" customFormat="1" ht="15.95" hidden="1" customHeight="1" x14ac:dyDescent="0.15">
      <c r="B108" s="36" t="s">
        <v>140</v>
      </c>
      <c r="C108" s="20" t="s">
        <v>4</v>
      </c>
      <c r="D108" s="29">
        <f>IF(M107=M108,N108,N109)</f>
        <v>275</v>
      </c>
      <c r="E108" s="29" t="s">
        <v>457</v>
      </c>
      <c r="F108" s="24"/>
      <c r="G108" s="20" t="s">
        <v>9</v>
      </c>
      <c r="H108" s="36" t="str">
        <f>IF(M107=M108,O108,O109)</f>
        <v>SS 275  Yield Strength</v>
      </c>
      <c r="I108" s="12"/>
      <c r="J108" s="12"/>
      <c r="K108" s="12"/>
      <c r="L108" s="12"/>
      <c r="M108" s="350">
        <v>1</v>
      </c>
      <c r="N108" s="351">
        <v>275</v>
      </c>
      <c r="O108" s="349" t="s">
        <v>649</v>
      </c>
      <c r="P108" s="12"/>
    </row>
    <row r="109" spans="2:16" s="47" customFormat="1" ht="15.95" hidden="1" customHeight="1" x14ac:dyDescent="0.15">
      <c r="B109" s="36" t="s">
        <v>319</v>
      </c>
      <c r="C109" s="20" t="s">
        <v>4</v>
      </c>
      <c r="D109" s="80" t="s">
        <v>650</v>
      </c>
      <c r="E109" s="36"/>
      <c r="F109" s="24"/>
      <c r="G109" s="24"/>
      <c r="H109" s="24"/>
      <c r="I109" s="12"/>
      <c r="J109" s="24"/>
      <c r="K109" s="24"/>
      <c r="L109" s="24"/>
      <c r="M109" s="350">
        <v>2</v>
      </c>
      <c r="N109" s="351">
        <v>205</v>
      </c>
      <c r="O109" s="349" t="s">
        <v>885</v>
      </c>
      <c r="P109" s="12"/>
    </row>
    <row r="110" spans="2:16" s="47" customFormat="1" ht="15.95" hidden="1" customHeight="1" x14ac:dyDescent="0.15">
      <c r="B110" s="38"/>
      <c r="C110" s="20" t="s">
        <v>4</v>
      </c>
      <c r="D110" s="29">
        <f>0.66*D108</f>
        <v>181.5</v>
      </c>
      <c r="E110" s="29" t="s">
        <v>457</v>
      </c>
      <c r="F110" s="24"/>
      <c r="G110" s="24"/>
      <c r="H110" s="24"/>
      <c r="I110" s="24"/>
      <c r="J110" s="24"/>
      <c r="K110" s="24"/>
      <c r="L110" s="24"/>
      <c r="M110" s="12"/>
      <c r="N110" s="12"/>
      <c r="O110" s="12"/>
      <c r="P110" s="12"/>
    </row>
    <row r="111" spans="2:16" s="47" customFormat="1" ht="15.95" hidden="1" customHeight="1" x14ac:dyDescent="0.15">
      <c r="B111" s="26"/>
      <c r="C111" s="20"/>
      <c r="D111" s="29"/>
      <c r="E111" s="12"/>
      <c r="F111" s="12"/>
      <c r="G111" s="24"/>
      <c r="H111" s="24"/>
      <c r="I111" s="24"/>
      <c r="J111" s="24"/>
      <c r="K111" s="24"/>
      <c r="L111" s="24"/>
      <c r="M111" s="12"/>
      <c r="N111" s="12"/>
      <c r="O111" s="12"/>
      <c r="P111" s="12"/>
    </row>
    <row r="112" spans="2:16" ht="15.95" hidden="1" customHeight="1" x14ac:dyDescent="0.15">
      <c r="B112" s="35" t="s">
        <v>142</v>
      </c>
      <c r="M112" s="12"/>
      <c r="N112" s="12"/>
      <c r="O112" s="12"/>
      <c r="P112" s="12"/>
    </row>
    <row r="113" spans="2:16" ht="15.95" hidden="1" customHeight="1" x14ac:dyDescent="0.15">
      <c r="B113" s="35"/>
      <c r="M113" s="12"/>
      <c r="N113" s="12"/>
      <c r="O113" s="12"/>
      <c r="P113" s="12"/>
    </row>
    <row r="114" spans="2:16" ht="15.95" hidden="1" customHeight="1" x14ac:dyDescent="0.15">
      <c r="B114" s="36" t="s">
        <v>143</v>
      </c>
      <c r="C114" s="20" t="s">
        <v>4</v>
      </c>
      <c r="D114" s="38">
        <f>D103/D110</f>
        <v>0</v>
      </c>
      <c r="E114" s="39" t="str">
        <f>IF(D114&gt;F114,"&gt;","&lt;")</f>
        <v>&lt;</v>
      </c>
      <c r="F114" s="19">
        <v>1</v>
      </c>
      <c r="G114" s="107" t="str">
        <f>IF(D114&lt;F114,"O.K.","N.G.")</f>
        <v>O.K.</v>
      </c>
      <c r="M114" s="12"/>
      <c r="N114" s="12"/>
      <c r="O114" s="12"/>
      <c r="P114" s="12"/>
    </row>
    <row r="115" spans="2:16" s="47" customFormat="1" ht="15.95" hidden="1" customHeight="1" x14ac:dyDescent="0.15">
      <c r="B115" s="26"/>
      <c r="C115" s="20"/>
      <c r="D115" s="29"/>
      <c r="E115" s="12"/>
      <c r="F115" s="12"/>
      <c r="G115" s="24"/>
      <c r="H115" s="24"/>
      <c r="I115" s="24"/>
      <c r="J115" s="24"/>
      <c r="K115" s="24"/>
      <c r="L115" s="24"/>
      <c r="M115" s="12"/>
      <c r="N115" s="164"/>
      <c r="O115" s="12"/>
    </row>
    <row r="116" spans="2:16" s="47" customFormat="1" ht="15.95" hidden="1" customHeight="1" x14ac:dyDescent="0.15">
      <c r="B116" s="26"/>
      <c r="C116" s="20"/>
      <c r="D116" s="29"/>
      <c r="E116" s="12"/>
      <c r="F116" s="12"/>
      <c r="G116" s="24"/>
      <c r="H116" s="24"/>
      <c r="I116" s="24"/>
      <c r="J116" s="24"/>
      <c r="K116" s="24"/>
      <c r="L116" s="24"/>
      <c r="M116" s="12"/>
      <c r="N116" s="164"/>
      <c r="O116" s="12"/>
    </row>
    <row r="117" spans="2:16" ht="15.95" hidden="1" customHeight="1" x14ac:dyDescent="0.15">
      <c r="B117" s="40" t="s">
        <v>145</v>
      </c>
    </row>
    <row r="118" spans="2:16" ht="15.95" hidden="1" customHeight="1" x14ac:dyDescent="0.15"/>
    <row r="119" spans="2:16" ht="15.95" hidden="1" customHeight="1" x14ac:dyDescent="0.15">
      <c r="B119" s="35" t="s">
        <v>147</v>
      </c>
    </row>
    <row r="120" spans="2:16" ht="15.95" hidden="1" customHeight="1" x14ac:dyDescent="0.15">
      <c r="B120" s="35"/>
    </row>
    <row r="121" spans="2:16" ht="15.95" hidden="1" customHeight="1" x14ac:dyDescent="0.15">
      <c r="B121" s="78" t="s">
        <v>120</v>
      </c>
      <c r="C121" s="20" t="s">
        <v>4</v>
      </c>
      <c r="D121" s="24">
        <f>D16</f>
        <v>0</v>
      </c>
      <c r="E121" s="29" t="s">
        <v>479</v>
      </c>
    </row>
    <row r="122" spans="2:16" ht="15.95" hidden="1" customHeight="1" x14ac:dyDescent="0.15"/>
    <row r="123" spans="2:16" ht="15.95" hidden="1" customHeight="1" x14ac:dyDescent="0.15"/>
    <row r="124" spans="2:16" ht="15.95" hidden="1" customHeight="1" x14ac:dyDescent="0.15">
      <c r="B124" s="35" t="s">
        <v>146</v>
      </c>
      <c r="E124" s="42" t="s">
        <v>150</v>
      </c>
    </row>
    <row r="125" spans="2:16" ht="15.95" hidden="1" customHeight="1" x14ac:dyDescent="0.15">
      <c r="B125" s="35"/>
    </row>
    <row r="126" spans="2:16" ht="15.95" hidden="1" customHeight="1" x14ac:dyDescent="0.15">
      <c r="B126" s="78" t="s">
        <v>2</v>
      </c>
      <c r="C126" s="20" t="s">
        <v>4</v>
      </c>
      <c r="D126" s="167">
        <f>D9</f>
        <v>5000</v>
      </c>
      <c r="E126" s="24" t="str">
        <f>IF(D126&gt;4110,"mm      &gt;     4110 mm","mm     ≤     4110 mm")</f>
        <v>mm      &gt;     4110 mm</v>
      </c>
      <c r="M126" s="43" t="s">
        <v>151</v>
      </c>
      <c r="N126" s="41">
        <f>D126/240+6.35</f>
        <v>27.18333333333333</v>
      </c>
    </row>
    <row r="127" spans="2:16" ht="15.95" hidden="1" customHeight="1" x14ac:dyDescent="0.15">
      <c r="B127" s="78" t="s">
        <v>148</v>
      </c>
      <c r="C127" s="20" t="s">
        <v>4</v>
      </c>
      <c r="D127" s="177">
        <f>D126</f>
        <v>5000</v>
      </c>
      <c r="E127" s="35" t="str">
        <f>IF(D126&lt;4110,"mm      /     175","mm      /      240 + 6.35 mm ")</f>
        <v xml:space="preserve">mm      /      240 + 6.35 mm </v>
      </c>
      <c r="M127" s="43" t="s">
        <v>152</v>
      </c>
      <c r="N127" s="41">
        <f>D126/175</f>
        <v>28.571428571428573</v>
      </c>
    </row>
    <row r="128" spans="2:16" ht="15.95" hidden="1" customHeight="1" x14ac:dyDescent="0.15">
      <c r="B128" s="38"/>
      <c r="C128" s="20" t="s">
        <v>4</v>
      </c>
      <c r="D128" s="38">
        <f>IF(D126&gt;4110,N126,N127)</f>
        <v>27.18333333333333</v>
      </c>
      <c r="E128" s="24" t="s">
        <v>496</v>
      </c>
    </row>
    <row r="129" spans="1:21" ht="15.95" hidden="1" customHeight="1" x14ac:dyDescent="0.15"/>
    <row r="130" spans="1:21" ht="15.95" hidden="1" customHeight="1" x14ac:dyDescent="0.15"/>
    <row r="131" spans="1:21" ht="15.95" hidden="1" customHeight="1" x14ac:dyDescent="0.15">
      <c r="B131" s="35" t="s">
        <v>153</v>
      </c>
    </row>
    <row r="132" spans="1:21" s="20" customFormat="1" ht="15.95" hidden="1" customHeight="1" x14ac:dyDescent="0.15">
      <c r="A132" s="43"/>
      <c r="C132" s="43"/>
      <c r="D132" s="43"/>
      <c r="E132" s="43"/>
      <c r="F132" s="43"/>
      <c r="G132" s="43"/>
      <c r="H132" s="43"/>
      <c r="I132" s="43"/>
      <c r="J132" s="43"/>
      <c r="K132" s="43"/>
      <c r="L132" s="43"/>
      <c r="M132" s="43"/>
      <c r="O132" s="24"/>
      <c r="P132" s="24"/>
      <c r="Q132" s="24"/>
      <c r="R132" s="24"/>
      <c r="S132" s="24"/>
      <c r="T132" s="24"/>
      <c r="U132" s="24"/>
    </row>
    <row r="133" spans="1:21" s="20" customFormat="1" ht="15.95" hidden="1" customHeight="1" x14ac:dyDescent="0.15">
      <c r="A133" s="24"/>
      <c r="B133" s="36" t="s">
        <v>359</v>
      </c>
      <c r="C133" s="20" t="s">
        <v>4</v>
      </c>
      <c r="D133" s="38">
        <f>D121/(D128)</f>
        <v>0</v>
      </c>
      <c r="E133" s="39" t="str">
        <f>IF(D133&gt;F133,"&gt;","&lt;")</f>
        <v>&lt;</v>
      </c>
      <c r="F133" s="19">
        <v>1</v>
      </c>
      <c r="G133" s="107" t="str">
        <f>IF(D133&lt;F133,"O.K.","N.G.")</f>
        <v>O.K.</v>
      </c>
      <c r="I133" s="43"/>
      <c r="J133" s="43"/>
      <c r="K133" s="43"/>
      <c r="L133" s="43"/>
      <c r="M133" s="43"/>
      <c r="O133" s="24"/>
      <c r="P133" s="24"/>
      <c r="Q133" s="24"/>
      <c r="R133" s="24"/>
      <c r="S133" s="24"/>
      <c r="T133" s="24"/>
      <c r="U133" s="24"/>
    </row>
    <row r="134" spans="1:21" ht="15.95" hidden="1" customHeight="1" x14ac:dyDescent="0.15"/>
  </sheetData>
  <sheetProtection algorithmName="SHA-512" hashValue="Y/7yvNO3rglqQkWlu8l60UPHwqFYkhil8eisoIHmuQR5Bd1UAohoIA9Tjg56arRogyvybhg1nTzCs4DUUWaSaw==" saltValue="B6V7fXmRVahPZTnP5IG2iA==" spinCount="100000" sheet="1" objects="1" scenarios="1" selectLockedCells="1"/>
  <protectedRanges>
    <protectedRange sqref="D7:D10" name="범위1_2"/>
    <protectedRange sqref="D37:D40" name="범위1_3"/>
  </protectedRanges>
  <mergeCells count="5">
    <mergeCell ref="B22:E33"/>
    <mergeCell ref="M6:N6"/>
    <mergeCell ref="N12:N13"/>
    <mergeCell ref="O12:O13"/>
    <mergeCell ref="B46:K46"/>
  </mergeCells>
  <phoneticPr fontId="2" type="noConversion"/>
  <pageMargins left="0.51181102362204722" right="0.51181102362204722" top="0.78740157480314965" bottom="0.59055118110236227" header="0.39370078740157483" footer="0.39370078740157483"/>
  <pageSetup paperSize="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2">
    <tabColor rgb="FFC00000"/>
  </sheetPr>
  <dimension ref="A1:U134"/>
  <sheetViews>
    <sheetView view="pageBreakPreview" zoomScale="75" zoomScaleNormal="100" zoomScaleSheetLayoutView="75" workbookViewId="0">
      <selection activeCell="M1" sqref="M1"/>
    </sheetView>
  </sheetViews>
  <sheetFormatPr defaultRowHeight="15.95" customHeight="1" x14ac:dyDescent="0.15"/>
  <cols>
    <col min="1" max="1" width="2.77734375" style="24" customWidth="1"/>
    <col min="2" max="2" width="7.33203125" style="24" customWidth="1"/>
    <col min="3" max="3" width="5.33203125" style="24" customWidth="1"/>
    <col min="4" max="4" width="9.33203125" style="24" customWidth="1"/>
    <col min="5" max="5" width="5.33203125" style="24" customWidth="1"/>
    <col min="6" max="6" width="9.33203125" style="24" customWidth="1"/>
    <col min="7" max="8" width="7.33203125" style="24" customWidth="1"/>
    <col min="9" max="9" width="5.33203125" style="24" customWidth="1"/>
    <col min="10" max="10" width="9.33203125" style="24" customWidth="1"/>
    <col min="11" max="11" width="7.33203125" style="24" customWidth="1"/>
    <col min="12" max="12" width="2.77734375" style="24" customWidth="1"/>
    <col min="13" max="13" width="6.77734375" style="24" customWidth="1"/>
    <col min="14" max="14" width="9.88671875" style="24" customWidth="1"/>
    <col min="15" max="15" width="8.77734375" style="24" customWidth="1"/>
    <col min="16" max="16" width="9.77734375" style="24" customWidth="1"/>
    <col min="17" max="17" width="6.77734375" style="24" customWidth="1"/>
    <col min="18" max="18" width="8.77734375" style="24" customWidth="1"/>
    <col min="19" max="20" width="6.77734375" style="24" customWidth="1"/>
    <col min="21" max="21" width="9.77734375" style="24" customWidth="1"/>
    <col min="22" max="16384" width="8.88671875" style="24"/>
  </cols>
  <sheetData>
    <row r="1" spans="1:17" ht="15.95" customHeight="1" x14ac:dyDescent="0.15">
      <c r="A1" s="76" t="s">
        <v>507</v>
      </c>
      <c r="M1" s="577">
        <v>1</v>
      </c>
    </row>
    <row r="2" spans="1:17" ht="15.95" customHeight="1" x14ac:dyDescent="0.15">
      <c r="M2" s="186">
        <v>1</v>
      </c>
      <c r="N2" s="348">
        <v>210000</v>
      </c>
      <c r="O2" s="349" t="s">
        <v>883</v>
      </c>
      <c r="P2" s="335"/>
    </row>
    <row r="3" spans="1:17" ht="15.95" customHeight="1" x14ac:dyDescent="0.15">
      <c r="B3" s="77" t="s">
        <v>58</v>
      </c>
      <c r="M3" s="186">
        <v>2</v>
      </c>
      <c r="N3" s="348">
        <v>193000</v>
      </c>
      <c r="O3" s="349" t="s">
        <v>884</v>
      </c>
      <c r="P3" s="335"/>
    </row>
    <row r="5" spans="1:17" ht="15.95" customHeight="1" x14ac:dyDescent="0.15">
      <c r="B5" s="78" t="s">
        <v>59</v>
      </c>
      <c r="C5" s="20" t="s">
        <v>4</v>
      </c>
      <c r="D5" s="182">
        <f>(SUMPRODUCT((N8:N10=N7)*(O7:P7=M7),O8:P10))</f>
        <v>0</v>
      </c>
      <c r="E5" s="43" t="s">
        <v>456</v>
      </c>
      <c r="H5" s="36" t="s">
        <v>69</v>
      </c>
      <c r="J5" s="49"/>
      <c r="M5" s="38"/>
      <c r="P5" s="12"/>
      <c r="Q5" s="12"/>
    </row>
    <row r="6" spans="1:17" ht="15.95" customHeight="1" x14ac:dyDescent="0.15">
      <c r="B6" s="78" t="s">
        <v>67</v>
      </c>
      <c r="C6" s="20" t="s">
        <v>4</v>
      </c>
      <c r="D6" s="167">
        <f>IF(M1=M2,N2,N3)</f>
        <v>210000</v>
      </c>
      <c r="E6" s="43" t="s">
        <v>457</v>
      </c>
      <c r="H6" s="36" t="str">
        <f>IF(M1=M2,O2,O3)</f>
        <v>( Modulus of Elasticity , SS 275 )</v>
      </c>
      <c r="I6" s="43"/>
      <c r="J6" s="43"/>
      <c r="M6" s="694" t="s">
        <v>543</v>
      </c>
      <c r="N6" s="694"/>
      <c r="O6" s="188"/>
      <c r="P6" s="189"/>
      <c r="Q6" s="26"/>
    </row>
    <row r="7" spans="1:17" ht="15.95" customHeight="1" x14ac:dyDescent="0.15">
      <c r="B7" s="78" t="s">
        <v>60</v>
      </c>
      <c r="C7" s="20" t="s">
        <v>4</v>
      </c>
      <c r="D7" s="560">
        <v>1200</v>
      </c>
      <c r="E7" s="43" t="s">
        <v>458</v>
      </c>
      <c r="H7" s="36" t="s">
        <v>70</v>
      </c>
      <c r="M7" s="562" t="s">
        <v>541</v>
      </c>
      <c r="N7" s="563">
        <v>1</v>
      </c>
      <c r="O7" s="185" t="s">
        <v>541</v>
      </c>
      <c r="P7" s="185" t="s">
        <v>542</v>
      </c>
    </row>
    <row r="8" spans="1:17" ht="15.95" customHeight="1" x14ac:dyDescent="0.15">
      <c r="B8" s="78" t="s">
        <v>61</v>
      </c>
      <c r="C8" s="20" t="s">
        <v>4</v>
      </c>
      <c r="D8" s="560">
        <v>1500</v>
      </c>
      <c r="E8" s="43" t="s">
        <v>458</v>
      </c>
      <c r="H8" s="36" t="s">
        <v>71</v>
      </c>
      <c r="M8" s="190" t="s">
        <v>453</v>
      </c>
      <c r="N8" s="186">
        <v>1</v>
      </c>
      <c r="O8" s="187" t="str">
        <f>풍하중!T8</f>
        <v>-</v>
      </c>
      <c r="P8" s="187">
        <f>풍하중!U8</f>
        <v>1.52</v>
      </c>
    </row>
    <row r="9" spans="1:17" ht="15.95" customHeight="1" x14ac:dyDescent="0.15">
      <c r="B9" s="36" t="s">
        <v>491</v>
      </c>
      <c r="C9" s="20" t="s">
        <v>4</v>
      </c>
      <c r="D9" s="560">
        <v>1000</v>
      </c>
      <c r="E9" s="43" t="s">
        <v>458</v>
      </c>
      <c r="H9" s="36" t="s">
        <v>400</v>
      </c>
      <c r="J9" s="43"/>
      <c r="M9" s="190" t="s">
        <v>454</v>
      </c>
      <c r="N9" s="186">
        <v>2</v>
      </c>
      <c r="O9" s="187" t="str">
        <f>풍하중!T9</f>
        <v>-</v>
      </c>
      <c r="P9" s="187">
        <f>풍하중!U9</f>
        <v>-1.1619999999999999</v>
      </c>
    </row>
    <row r="10" spans="1:17" ht="15.95" customHeight="1" x14ac:dyDescent="0.15">
      <c r="B10" s="36" t="s">
        <v>490</v>
      </c>
      <c r="C10" s="20" t="s">
        <v>4</v>
      </c>
      <c r="D10" s="560">
        <v>4000</v>
      </c>
      <c r="E10" s="43" t="s">
        <v>458</v>
      </c>
      <c r="H10" s="36" t="s">
        <v>401</v>
      </c>
      <c r="J10" s="43"/>
      <c r="M10" s="190" t="s">
        <v>455</v>
      </c>
      <c r="N10" s="186">
        <v>3</v>
      </c>
      <c r="O10" s="187" t="str">
        <f>풍하중!T10</f>
        <v>-</v>
      </c>
      <c r="P10" s="187">
        <f>풍하중!U10</f>
        <v>-1.39</v>
      </c>
    </row>
    <row r="11" spans="1:17" ht="15.95" customHeight="1" x14ac:dyDescent="0.15">
      <c r="B11" s="36" t="s">
        <v>492</v>
      </c>
      <c r="C11" s="20" t="s">
        <v>4</v>
      </c>
      <c r="D11" s="560">
        <v>2600</v>
      </c>
      <c r="E11" s="43" t="s">
        <v>458</v>
      </c>
      <c r="H11" s="36" t="s">
        <v>72</v>
      </c>
    </row>
    <row r="12" spans="1:17" ht="15.95" customHeight="1" x14ac:dyDescent="0.15">
      <c r="M12" s="165"/>
      <c r="N12" s="698"/>
      <c r="O12" s="698"/>
    </row>
    <row r="13" spans="1:17" ht="15.95" customHeight="1" x14ac:dyDescent="0.15">
      <c r="M13" s="165"/>
      <c r="N13" s="698"/>
      <c r="O13" s="698"/>
    </row>
    <row r="14" spans="1:17" ht="15.95" customHeight="1" x14ac:dyDescent="0.15">
      <c r="B14" s="36" t="s">
        <v>65</v>
      </c>
      <c r="C14" s="20" t="s">
        <v>4</v>
      </c>
      <c r="D14" s="172">
        <f>D89</f>
        <v>0</v>
      </c>
      <c r="E14" s="43" t="s">
        <v>514</v>
      </c>
      <c r="F14" s="36"/>
      <c r="H14" s="162" t="s">
        <v>66</v>
      </c>
      <c r="I14" s="20" t="s">
        <v>4</v>
      </c>
      <c r="J14" s="108">
        <f>D114</f>
        <v>0</v>
      </c>
      <c r="K14" s="83" t="str">
        <f>IF(J14&lt;1,"O.K","N.G")</f>
        <v>O.K</v>
      </c>
      <c r="N14" s="29"/>
    </row>
    <row r="16" spans="1:17" ht="15.95" customHeight="1" x14ac:dyDescent="0.15">
      <c r="B16" s="36" t="s">
        <v>120</v>
      </c>
      <c r="C16" s="20" t="s">
        <v>4</v>
      </c>
      <c r="D16" s="79">
        <f>D91</f>
        <v>0</v>
      </c>
      <c r="E16" s="43" t="s">
        <v>458</v>
      </c>
      <c r="F16" s="36"/>
    </row>
    <row r="17" spans="2:12" ht="15.95" customHeight="1" x14ac:dyDescent="0.15">
      <c r="B17" s="36" t="s">
        <v>484</v>
      </c>
      <c r="C17" s="20" t="s">
        <v>4</v>
      </c>
      <c r="D17" s="79">
        <f>D128</f>
        <v>22.857142857142858</v>
      </c>
      <c r="E17" s="43" t="s">
        <v>458</v>
      </c>
      <c r="H17" s="80" t="s">
        <v>68</v>
      </c>
      <c r="I17" s="20" t="s">
        <v>4</v>
      </c>
      <c r="J17" s="108">
        <f>D133</f>
        <v>0</v>
      </c>
      <c r="K17" s="83" t="str">
        <f>IF(J17&lt;1,"O.K","N.G")</f>
        <v>O.K</v>
      </c>
    </row>
    <row r="19" spans="2:12" ht="15.95" customHeight="1" x14ac:dyDescent="0.15">
      <c r="B19" s="78"/>
      <c r="C19" s="82"/>
      <c r="D19" s="20"/>
    </row>
    <row r="20" spans="2:12" ht="15.95" customHeight="1" x14ac:dyDescent="0.15">
      <c r="B20" s="77" t="s">
        <v>78</v>
      </c>
      <c r="E20" s="49"/>
    </row>
    <row r="21" spans="2:12" ht="15.95" customHeight="1" thickBot="1" x14ac:dyDescent="0.2">
      <c r="K21" s="81"/>
      <c r="L21" s="81"/>
    </row>
    <row r="22" spans="2:12" ht="15.95" customHeight="1" x14ac:dyDescent="0.15">
      <c r="B22" s="739"/>
      <c r="C22" s="696"/>
      <c r="D22" s="696"/>
      <c r="E22" s="697"/>
      <c r="F22" s="47"/>
      <c r="G22" s="138"/>
      <c r="H22" s="139"/>
      <c r="I22" s="139"/>
      <c r="J22" s="139"/>
      <c r="K22" s="140"/>
    </row>
    <row r="23" spans="2:12" ht="15.95" customHeight="1" x14ac:dyDescent="0.15">
      <c r="B23" s="740"/>
      <c r="C23" s="698"/>
      <c r="D23" s="698"/>
      <c r="E23" s="699"/>
      <c r="F23" s="47"/>
      <c r="G23" s="91"/>
      <c r="K23" s="110"/>
    </row>
    <row r="24" spans="2:12" ht="15.95" customHeight="1" x14ac:dyDescent="0.15">
      <c r="B24" s="740"/>
      <c r="C24" s="698"/>
      <c r="D24" s="698"/>
      <c r="E24" s="699"/>
      <c r="F24" s="47"/>
      <c r="G24" s="91"/>
      <c r="K24" s="110"/>
    </row>
    <row r="25" spans="2:12" ht="15.95" customHeight="1" x14ac:dyDescent="0.15">
      <c r="B25" s="740"/>
      <c r="C25" s="698"/>
      <c r="D25" s="698"/>
      <c r="E25" s="699"/>
      <c r="F25" s="47"/>
      <c r="G25" s="91"/>
      <c r="K25" s="110"/>
    </row>
    <row r="26" spans="2:12" ht="15.95" customHeight="1" x14ac:dyDescent="0.15">
      <c r="B26" s="740"/>
      <c r="C26" s="698"/>
      <c r="D26" s="698"/>
      <c r="E26" s="699"/>
      <c r="F26" s="47"/>
      <c r="G26" s="91"/>
      <c r="K26" s="110"/>
    </row>
    <row r="27" spans="2:12" ht="15.95" customHeight="1" x14ac:dyDescent="0.15">
      <c r="B27" s="740"/>
      <c r="C27" s="698"/>
      <c r="D27" s="698"/>
      <c r="E27" s="699"/>
      <c r="F27" s="47"/>
      <c r="G27" s="91"/>
      <c r="K27" s="110"/>
    </row>
    <row r="28" spans="2:12" ht="15.95" customHeight="1" x14ac:dyDescent="0.15">
      <c r="B28" s="740"/>
      <c r="C28" s="698"/>
      <c r="D28" s="698"/>
      <c r="E28" s="699"/>
      <c r="F28" s="47"/>
      <c r="G28" s="91"/>
      <c r="K28" s="110"/>
    </row>
    <row r="29" spans="2:12" ht="15.95" customHeight="1" x14ac:dyDescent="0.15">
      <c r="B29" s="740"/>
      <c r="C29" s="698"/>
      <c r="D29" s="698"/>
      <c r="E29" s="699"/>
      <c r="F29" s="47"/>
      <c r="G29" s="91"/>
      <c r="K29" s="110"/>
    </row>
    <row r="30" spans="2:12" ht="15.95" customHeight="1" x14ac:dyDescent="0.15">
      <c r="B30" s="740"/>
      <c r="C30" s="698"/>
      <c r="D30" s="698"/>
      <c r="E30" s="699"/>
      <c r="F30" s="47"/>
      <c r="G30" s="91"/>
      <c r="K30" s="110"/>
    </row>
    <row r="31" spans="2:12" ht="15.95" customHeight="1" x14ac:dyDescent="0.15">
      <c r="B31" s="740"/>
      <c r="C31" s="698"/>
      <c r="D31" s="698"/>
      <c r="E31" s="699"/>
      <c r="F31" s="47"/>
      <c r="G31" s="91"/>
      <c r="K31" s="110"/>
    </row>
    <row r="32" spans="2:12" ht="15.95" customHeight="1" x14ac:dyDescent="0.15">
      <c r="B32" s="740"/>
      <c r="C32" s="698"/>
      <c r="D32" s="698"/>
      <c r="E32" s="699"/>
      <c r="F32" s="47"/>
      <c r="G32" s="91"/>
      <c r="K32" s="110"/>
    </row>
    <row r="33" spans="2:21" ht="15.95" customHeight="1" x14ac:dyDescent="0.15">
      <c r="B33" s="740"/>
      <c r="C33" s="698"/>
      <c r="D33" s="698"/>
      <c r="E33" s="699"/>
      <c r="F33" s="47"/>
      <c r="G33" s="91"/>
      <c r="K33" s="110"/>
    </row>
    <row r="34" spans="2:21" ht="15.95" customHeight="1" x14ac:dyDescent="0.15">
      <c r="B34" s="91"/>
      <c r="E34" s="110"/>
      <c r="F34" s="47"/>
      <c r="G34" s="91"/>
      <c r="K34" s="110"/>
    </row>
    <row r="35" spans="2:21" ht="15.95" customHeight="1" x14ac:dyDescent="0.15">
      <c r="B35" s="111" t="str">
        <f>CONCATENATE("  * B - ",D37," × ",D38," × ",D39," × ",D40)</f>
        <v xml:space="preserve">  * B - 100 × 50 × 2 × 2</v>
      </c>
      <c r="E35" s="110"/>
      <c r="F35" s="47"/>
      <c r="G35" s="91"/>
      <c r="K35" s="110"/>
    </row>
    <row r="36" spans="2:21" ht="15.95" customHeight="1" x14ac:dyDescent="0.15">
      <c r="B36" s="91"/>
      <c r="E36" s="110"/>
      <c r="F36" s="47"/>
      <c r="G36" s="91"/>
      <c r="K36" s="110"/>
    </row>
    <row r="37" spans="2:21" ht="15.95" customHeight="1" x14ac:dyDescent="0.15">
      <c r="B37" s="71" t="s">
        <v>73</v>
      </c>
      <c r="C37" s="20" t="s">
        <v>4</v>
      </c>
      <c r="D37" s="565">
        <v>100</v>
      </c>
      <c r="E37" s="86" t="s">
        <v>496</v>
      </c>
      <c r="F37" s="47"/>
      <c r="G37" s="91"/>
      <c r="K37" s="110"/>
    </row>
    <row r="38" spans="2:21" ht="15.95" customHeight="1" x14ac:dyDescent="0.15">
      <c r="B38" s="71" t="s">
        <v>46</v>
      </c>
      <c r="C38" s="20" t="s">
        <v>4</v>
      </c>
      <c r="D38" s="565">
        <v>50</v>
      </c>
      <c r="E38" s="86" t="s">
        <v>496</v>
      </c>
      <c r="F38" s="47"/>
      <c r="G38" s="91"/>
      <c r="K38" s="110"/>
    </row>
    <row r="39" spans="2:21" ht="15.95" customHeight="1" x14ac:dyDescent="0.15">
      <c r="B39" s="71" t="s">
        <v>74</v>
      </c>
      <c r="C39" s="20" t="s">
        <v>4</v>
      </c>
      <c r="D39" s="565">
        <v>2</v>
      </c>
      <c r="E39" s="86" t="s">
        <v>496</v>
      </c>
      <c r="F39" s="47"/>
      <c r="G39" s="91"/>
      <c r="K39" s="110"/>
      <c r="L39" s="81"/>
    </row>
    <row r="40" spans="2:21" ht="15.95" customHeight="1" x14ac:dyDescent="0.15">
      <c r="B40" s="71" t="s">
        <v>75</v>
      </c>
      <c r="C40" s="20" t="s">
        <v>4</v>
      </c>
      <c r="D40" s="565">
        <v>2</v>
      </c>
      <c r="E40" s="86" t="s">
        <v>496</v>
      </c>
      <c r="F40" s="47"/>
      <c r="G40" s="91"/>
      <c r="K40" s="110"/>
      <c r="L40" s="81"/>
      <c r="M40" s="81"/>
      <c r="N40" s="112" t="s">
        <v>83</v>
      </c>
      <c r="O40" s="31" t="s">
        <v>4</v>
      </c>
      <c r="P40" s="113">
        <f>D37*D38-D41*D42</f>
        <v>584</v>
      </c>
      <c r="Q40" s="114" t="s">
        <v>504</v>
      </c>
      <c r="U40" s="44"/>
    </row>
    <row r="41" spans="2:21" ht="15.95" customHeight="1" x14ac:dyDescent="0.15">
      <c r="B41" s="71" t="s">
        <v>76</v>
      </c>
      <c r="C41" s="20" t="s">
        <v>4</v>
      </c>
      <c r="D41" s="23">
        <f>D37-2*D40</f>
        <v>96</v>
      </c>
      <c r="E41" s="86" t="s">
        <v>496</v>
      </c>
      <c r="F41" s="47"/>
      <c r="G41" s="91"/>
      <c r="K41" s="110"/>
      <c r="L41" s="81"/>
      <c r="M41" s="81"/>
      <c r="N41" s="112" t="s">
        <v>81</v>
      </c>
      <c r="O41" s="31" t="s">
        <v>4</v>
      </c>
      <c r="P41" s="115" t="s">
        <v>79</v>
      </c>
      <c r="Q41" s="114"/>
      <c r="U41" s="44"/>
    </row>
    <row r="42" spans="2:21" ht="15.95" customHeight="1" x14ac:dyDescent="0.15">
      <c r="B42" s="71" t="s">
        <v>77</v>
      </c>
      <c r="C42" s="20" t="s">
        <v>4</v>
      </c>
      <c r="D42" s="23">
        <f>D38-2*D39</f>
        <v>46</v>
      </c>
      <c r="E42" s="86" t="s">
        <v>496</v>
      </c>
      <c r="F42" s="47"/>
      <c r="G42" s="91"/>
      <c r="K42" s="110"/>
      <c r="L42" s="81"/>
      <c r="M42" s="81"/>
      <c r="N42" s="116"/>
      <c r="O42" s="31" t="s">
        <v>4</v>
      </c>
      <c r="P42" s="117">
        <f>D41/D39</f>
        <v>48</v>
      </c>
      <c r="Q42" s="114"/>
      <c r="U42" s="44"/>
    </row>
    <row r="43" spans="2:21" ht="15.95" customHeight="1" x14ac:dyDescent="0.15">
      <c r="B43" s="71" t="s">
        <v>6</v>
      </c>
      <c r="C43" s="20" t="s">
        <v>4</v>
      </c>
      <c r="D43" s="176">
        <f>(D38*D37^3-D42*D41^3)/12</f>
        <v>775178.66666666663</v>
      </c>
      <c r="E43" s="86" t="s">
        <v>500</v>
      </c>
      <c r="F43" s="47"/>
      <c r="G43" s="91"/>
      <c r="K43" s="110"/>
      <c r="L43" s="81"/>
      <c r="M43" s="81"/>
      <c r="N43" s="112" t="s">
        <v>82</v>
      </c>
      <c r="O43" s="31" t="s">
        <v>4</v>
      </c>
      <c r="P43" s="115" t="s">
        <v>80</v>
      </c>
      <c r="Q43" s="114"/>
      <c r="U43" s="44"/>
    </row>
    <row r="44" spans="2:21" ht="15.95" customHeight="1" thickBot="1" x14ac:dyDescent="0.2">
      <c r="B44" s="87" t="s">
        <v>38</v>
      </c>
      <c r="C44" s="33" t="s">
        <v>4</v>
      </c>
      <c r="D44" s="183">
        <f>D43/(D37/2)</f>
        <v>15503.573333333332</v>
      </c>
      <c r="E44" s="88" t="s">
        <v>501</v>
      </c>
      <c r="F44" s="47"/>
      <c r="G44" s="94"/>
      <c r="H44" s="93"/>
      <c r="I44" s="93"/>
      <c r="J44" s="93"/>
      <c r="K44" s="141"/>
      <c r="L44" s="81"/>
      <c r="M44" s="81"/>
      <c r="N44" s="116"/>
      <c r="O44" s="31" t="s">
        <v>4</v>
      </c>
      <c r="P44" s="117">
        <f>D42/D40</f>
        <v>23</v>
      </c>
      <c r="Q44" s="114"/>
      <c r="U44" s="44"/>
    </row>
    <row r="45" spans="2:21" ht="15.95" customHeight="1" x14ac:dyDescent="0.15">
      <c r="B45" s="47"/>
      <c r="C45" s="47"/>
      <c r="D45" s="47"/>
      <c r="E45" s="47"/>
      <c r="F45" s="47"/>
      <c r="L45" s="81"/>
      <c r="U45" s="44"/>
    </row>
    <row r="46" spans="2:21" ht="15.95" customHeight="1" x14ac:dyDescent="0.15">
      <c r="B46" s="708" t="s">
        <v>1000</v>
      </c>
      <c r="C46" s="708"/>
      <c r="D46" s="708"/>
      <c r="E46" s="708"/>
      <c r="F46" s="708"/>
      <c r="G46" s="708"/>
      <c r="H46" s="708"/>
      <c r="I46" s="708"/>
      <c r="J46" s="708"/>
      <c r="K46" s="708"/>
      <c r="L46" s="81"/>
    </row>
    <row r="47" spans="2:21" s="47" customFormat="1" ht="15.95" hidden="1" customHeight="1" x14ac:dyDescent="0.15">
      <c r="B47" s="77" t="s">
        <v>84</v>
      </c>
    </row>
    <row r="48" spans="2:21" s="47" customFormat="1" ht="15.95" hidden="1" customHeight="1" x14ac:dyDescent="0.15"/>
    <row r="49" spans="1:9" s="47" customFormat="1" ht="15.95" hidden="1" customHeight="1" x14ac:dyDescent="0.15">
      <c r="B49" s="46"/>
    </row>
    <row r="50" spans="1:9" s="47" customFormat="1" ht="15.95" hidden="1" customHeight="1" x14ac:dyDescent="0.15">
      <c r="A50" s="48"/>
    </row>
    <row r="51" spans="1:9" s="47" customFormat="1" ht="15.95" hidden="1" customHeight="1" x14ac:dyDescent="0.15">
      <c r="A51" s="48"/>
    </row>
    <row r="52" spans="1:9" s="47" customFormat="1" ht="15.95" hidden="1" customHeight="1" x14ac:dyDescent="0.15">
      <c r="A52" s="48"/>
    </row>
    <row r="53" spans="1:9" s="47" customFormat="1" ht="15.95" hidden="1" customHeight="1" x14ac:dyDescent="0.15">
      <c r="A53" s="48"/>
    </row>
    <row r="54" spans="1:9" s="47" customFormat="1" ht="15.95" hidden="1" customHeight="1" x14ac:dyDescent="0.15">
      <c r="A54" s="48"/>
    </row>
    <row r="55" spans="1:9" s="47" customFormat="1" ht="15.95" hidden="1" customHeight="1" x14ac:dyDescent="0.15">
      <c r="A55" s="48"/>
    </row>
    <row r="56" spans="1:9" s="47" customFormat="1" ht="15.95" hidden="1" customHeight="1" x14ac:dyDescent="0.15">
      <c r="A56" s="48"/>
    </row>
    <row r="57" spans="1:9" s="47" customFormat="1" ht="15.95" hidden="1" customHeight="1" x14ac:dyDescent="0.15">
      <c r="A57" s="48"/>
    </row>
    <row r="58" spans="1:9" s="47" customFormat="1" ht="15.95" hidden="1" customHeight="1" x14ac:dyDescent="0.15">
      <c r="A58" s="48"/>
      <c r="D58" s="36"/>
    </row>
    <row r="59" spans="1:9" s="47" customFormat="1" ht="15.95" hidden="1" customHeight="1" x14ac:dyDescent="0.15">
      <c r="B59" s="24" t="s">
        <v>91</v>
      </c>
    </row>
    <row r="60" spans="1:9" s="47" customFormat="1" ht="15.95" hidden="1" customHeight="1" x14ac:dyDescent="0.15"/>
    <row r="61" spans="1:9" s="47" customFormat="1" ht="15.95" hidden="1" customHeight="1" x14ac:dyDescent="0.15">
      <c r="B61" s="36" t="s">
        <v>7</v>
      </c>
      <c r="C61" s="20" t="s">
        <v>4</v>
      </c>
      <c r="D61" s="36" t="s">
        <v>373</v>
      </c>
    </row>
    <row r="62" spans="1:9" s="47" customFormat="1" ht="15.95" hidden="1" customHeight="1" x14ac:dyDescent="0.15">
      <c r="B62" s="98" t="s">
        <v>8</v>
      </c>
      <c r="C62" s="20" t="s">
        <v>4</v>
      </c>
      <c r="D62" s="36" t="s">
        <v>374</v>
      </c>
      <c r="G62" s="20"/>
      <c r="H62" s="36"/>
    </row>
    <row r="63" spans="1:9" s="47" customFormat="1" ht="15.95" hidden="1" customHeight="1" x14ac:dyDescent="0.15">
      <c r="B63" s="36" t="s">
        <v>85</v>
      </c>
      <c r="C63" s="20" t="s">
        <v>4</v>
      </c>
      <c r="D63" s="36" t="s">
        <v>375</v>
      </c>
      <c r="G63" s="20"/>
    </row>
    <row r="64" spans="1:9" s="47" customFormat="1" ht="15.95" hidden="1" customHeight="1" x14ac:dyDescent="0.15">
      <c r="B64" s="36" t="s">
        <v>86</v>
      </c>
      <c r="C64" s="20" t="s">
        <v>4</v>
      </c>
      <c r="D64" s="36" t="s">
        <v>376</v>
      </c>
      <c r="G64" s="20"/>
      <c r="H64" s="20"/>
      <c r="I64" s="36"/>
    </row>
    <row r="65" spans="1:13" s="47" customFormat="1" ht="15.95" hidden="1" customHeight="1" x14ac:dyDescent="0.15">
      <c r="B65" s="36" t="s">
        <v>372</v>
      </c>
      <c r="C65" s="20" t="s">
        <v>4</v>
      </c>
      <c r="D65" s="36" t="s">
        <v>380</v>
      </c>
      <c r="G65" s="20" t="s">
        <v>9</v>
      </c>
      <c r="H65" s="36" t="s">
        <v>101</v>
      </c>
    </row>
    <row r="66" spans="1:13" s="47" customFormat="1" ht="15.95" hidden="1" customHeight="1" x14ac:dyDescent="0.15">
      <c r="B66" s="36" t="s">
        <v>87</v>
      </c>
      <c r="C66" s="20" t="s">
        <v>4</v>
      </c>
      <c r="D66" s="36" t="s">
        <v>377</v>
      </c>
      <c r="F66" s="48"/>
      <c r="G66" s="20" t="s">
        <v>9</v>
      </c>
      <c r="H66" s="36" t="s">
        <v>102</v>
      </c>
    </row>
    <row r="67" spans="1:13" s="47" customFormat="1" ht="15.95" hidden="1" customHeight="1" x14ac:dyDescent="0.15">
      <c r="B67" s="78" t="s">
        <v>120</v>
      </c>
      <c r="C67" s="20" t="s">
        <v>4</v>
      </c>
      <c r="D67" s="36" t="s">
        <v>381</v>
      </c>
      <c r="F67" s="48"/>
      <c r="H67" s="36" t="s">
        <v>103</v>
      </c>
    </row>
    <row r="68" spans="1:13" s="47" customFormat="1" ht="15.95" hidden="1" customHeight="1" x14ac:dyDescent="0.15"/>
    <row r="69" spans="1:13" s="47" customFormat="1" ht="15.95" hidden="1" customHeight="1" x14ac:dyDescent="0.15">
      <c r="A69" s="48"/>
      <c r="B69" s="24" t="s">
        <v>92</v>
      </c>
    </row>
    <row r="70" spans="1:13" s="47" customFormat="1" ht="15.95" hidden="1" customHeight="1" x14ac:dyDescent="0.15">
      <c r="H70" s="36"/>
    </row>
    <row r="71" spans="1:13" s="47" customFormat="1" ht="15.95" hidden="1" customHeight="1" x14ac:dyDescent="0.15">
      <c r="B71" s="78" t="s">
        <v>1052</v>
      </c>
      <c r="C71" s="37" t="s">
        <v>4</v>
      </c>
      <c r="D71" s="79">
        <f>0.65*ABS(D5/1000*(D7+D8)/2)</f>
        <v>0</v>
      </c>
      <c r="E71" s="24" t="s">
        <v>477</v>
      </c>
      <c r="F71" s="24"/>
      <c r="G71" s="20" t="s">
        <v>9</v>
      </c>
      <c r="H71" s="36" t="s">
        <v>382</v>
      </c>
    </row>
    <row r="72" spans="1:13" s="47" customFormat="1" ht="15.95" hidden="1" customHeight="1" x14ac:dyDescent="0.15">
      <c r="B72" s="78" t="s">
        <v>1053</v>
      </c>
      <c r="C72" s="37" t="s">
        <v>4</v>
      </c>
      <c r="D72" s="79">
        <f>D71</f>
        <v>0</v>
      </c>
      <c r="E72" s="24" t="s">
        <v>477</v>
      </c>
      <c r="F72" s="24"/>
      <c r="G72" s="20" t="s">
        <v>9</v>
      </c>
      <c r="H72" s="36" t="s">
        <v>382</v>
      </c>
      <c r="M72" s="36"/>
    </row>
    <row r="73" spans="1:13" s="47" customFormat="1" ht="15.95" hidden="1" customHeight="1" x14ac:dyDescent="0.15">
      <c r="B73" s="98" t="s">
        <v>378</v>
      </c>
      <c r="C73" s="37" t="s">
        <v>4</v>
      </c>
      <c r="D73" s="172">
        <f>D9</f>
        <v>1000</v>
      </c>
      <c r="E73" s="43" t="s">
        <v>458</v>
      </c>
      <c r="F73" s="24"/>
      <c r="G73" s="20" t="s">
        <v>9</v>
      </c>
      <c r="H73" s="36" t="s">
        <v>402</v>
      </c>
      <c r="M73" s="36"/>
    </row>
    <row r="74" spans="1:13" s="47" customFormat="1" ht="15.95" hidden="1" customHeight="1" x14ac:dyDescent="0.15">
      <c r="B74" s="98" t="s">
        <v>379</v>
      </c>
      <c r="C74" s="37" t="s">
        <v>4</v>
      </c>
      <c r="D74" s="172">
        <f>D10</f>
        <v>4000</v>
      </c>
      <c r="E74" s="43" t="s">
        <v>458</v>
      </c>
      <c r="F74" s="24"/>
      <c r="G74" s="20" t="s">
        <v>9</v>
      </c>
      <c r="H74" s="36" t="s">
        <v>403</v>
      </c>
      <c r="J74" s="52"/>
      <c r="K74" s="37"/>
      <c r="L74" s="75"/>
      <c r="M74" s="48"/>
    </row>
    <row r="75" spans="1:13" s="47" customFormat="1" ht="15.95" hidden="1" customHeight="1" x14ac:dyDescent="0.15">
      <c r="B75" s="36" t="s">
        <v>7</v>
      </c>
      <c r="C75" s="37" t="s">
        <v>4</v>
      </c>
      <c r="D75" s="172">
        <f>D71*D9+D72*D10</f>
        <v>0</v>
      </c>
      <c r="E75" s="24" t="s">
        <v>495</v>
      </c>
      <c r="F75" s="24"/>
      <c r="G75" s="20"/>
      <c r="H75" s="36"/>
    </row>
    <row r="76" spans="1:13" s="47" customFormat="1" ht="15.95" hidden="1" customHeight="1" x14ac:dyDescent="0.15">
      <c r="B76" s="36" t="s">
        <v>8</v>
      </c>
      <c r="C76" s="37" t="s">
        <v>4</v>
      </c>
      <c r="D76" s="34">
        <f>(D78*D73)/(D78*D74)</f>
        <v>0.25</v>
      </c>
      <c r="E76" s="24"/>
      <c r="F76" s="24"/>
      <c r="G76" s="20"/>
    </row>
    <row r="77" spans="1:13" s="47" customFormat="1" ht="15.95" hidden="1" customHeight="1" x14ac:dyDescent="0.15">
      <c r="B77" s="78" t="s">
        <v>5</v>
      </c>
      <c r="C77" s="37" t="s">
        <v>4</v>
      </c>
      <c r="D77" s="172">
        <f>D6</f>
        <v>210000</v>
      </c>
      <c r="E77" s="43" t="s">
        <v>457</v>
      </c>
      <c r="G77" s="20" t="s">
        <v>9</v>
      </c>
      <c r="H77" s="36" t="s">
        <v>95</v>
      </c>
    </row>
    <row r="78" spans="1:13" s="47" customFormat="1" ht="15.95" hidden="1" customHeight="1" x14ac:dyDescent="0.15">
      <c r="B78" s="78" t="s">
        <v>493</v>
      </c>
      <c r="C78" s="37" t="s">
        <v>4</v>
      </c>
      <c r="D78" s="172">
        <f>D43</f>
        <v>775178.66666666663</v>
      </c>
      <c r="E78" s="24" t="s">
        <v>494</v>
      </c>
      <c r="G78" s="20" t="s">
        <v>9</v>
      </c>
      <c r="H78" s="36" t="s">
        <v>96</v>
      </c>
    </row>
    <row r="79" spans="1:13" s="47" customFormat="1" ht="15.95" hidden="1" customHeight="1" x14ac:dyDescent="0.15">
      <c r="F79" s="47" t="s">
        <v>0</v>
      </c>
    </row>
    <row r="80" spans="1:13" s="47" customFormat="1" ht="15.95" hidden="1" customHeight="1" x14ac:dyDescent="0.15">
      <c r="A80" s="123"/>
      <c r="B80" s="24" t="s">
        <v>104</v>
      </c>
    </row>
    <row r="81" spans="1:21" s="47" customFormat="1" ht="15.95" hidden="1" customHeight="1" x14ac:dyDescent="0.15"/>
    <row r="82" spans="1:21" s="47" customFormat="1" ht="15.95" hidden="1" customHeight="1" x14ac:dyDescent="0.15">
      <c r="A82" s="47" t="s">
        <v>1</v>
      </c>
      <c r="B82" s="36" t="s">
        <v>85</v>
      </c>
      <c r="C82" s="37" t="s">
        <v>4</v>
      </c>
      <c r="D82" s="36" t="s">
        <v>375</v>
      </c>
      <c r="H82" s="46"/>
    </row>
    <row r="83" spans="1:21" s="47" customFormat="1" ht="15.95" hidden="1" customHeight="1" x14ac:dyDescent="0.15">
      <c r="B83" s="48"/>
      <c r="C83" s="37" t="s">
        <v>4</v>
      </c>
      <c r="D83" s="172">
        <f>(D71*D73)/2-(D76*D71*D73^2+D72*D74^2)/(8*(1+D76)*D73)</f>
        <v>0</v>
      </c>
      <c r="E83" s="24" t="s">
        <v>495</v>
      </c>
    </row>
    <row r="84" spans="1:21" s="47" customFormat="1" ht="15.95" hidden="1" customHeight="1" x14ac:dyDescent="0.15">
      <c r="B84" s="36" t="s">
        <v>86</v>
      </c>
      <c r="C84" s="37" t="s">
        <v>4</v>
      </c>
      <c r="D84" s="36" t="s">
        <v>376</v>
      </c>
      <c r="H84" s="46"/>
    </row>
    <row r="85" spans="1:21" s="47" customFormat="1" ht="15.95" hidden="1" customHeight="1" x14ac:dyDescent="0.15">
      <c r="B85" s="48"/>
      <c r="C85" s="37" t="s">
        <v>4</v>
      </c>
      <c r="D85" s="172">
        <f>(D72*D74)/2-(D76*D71*D73^2+D72*D74^2)/(8*(1+D76)*D74)</f>
        <v>0</v>
      </c>
      <c r="E85" s="24" t="s">
        <v>495</v>
      </c>
    </row>
    <row r="86" spans="1:21" s="47" customFormat="1" ht="15.95" hidden="1" customHeight="1" x14ac:dyDescent="0.15">
      <c r="B86" s="36" t="s">
        <v>372</v>
      </c>
      <c r="C86" s="37" t="s">
        <v>4</v>
      </c>
      <c r="D86" s="36" t="s">
        <v>380</v>
      </c>
      <c r="H86" s="46"/>
    </row>
    <row r="87" spans="1:21" s="47" customFormat="1" ht="15.95" hidden="1" customHeight="1" x14ac:dyDescent="0.15">
      <c r="B87" s="48"/>
      <c r="C87" s="37" t="s">
        <v>4</v>
      </c>
      <c r="D87" s="172">
        <f>D75-D83-D85</f>
        <v>0</v>
      </c>
      <c r="E87" s="24" t="s">
        <v>495</v>
      </c>
      <c r="J87" s="43"/>
    </row>
    <row r="88" spans="1:21" s="47" customFormat="1" ht="15.95" hidden="1" customHeight="1" x14ac:dyDescent="0.15">
      <c r="B88" s="36" t="s">
        <v>87</v>
      </c>
      <c r="C88" s="37" t="s">
        <v>4</v>
      </c>
      <c r="D88" s="36" t="s">
        <v>377</v>
      </c>
      <c r="H88" s="46"/>
      <c r="J88" s="24"/>
      <c r="M88" s="12"/>
      <c r="N88" s="172"/>
      <c r="O88" s="43"/>
    </row>
    <row r="89" spans="1:21" s="47" customFormat="1" ht="15.95" hidden="1" customHeight="1" x14ac:dyDescent="0.15">
      <c r="C89" s="37" t="s">
        <v>4</v>
      </c>
      <c r="D89" s="172">
        <f>(D76*D71*D73^2+D72*D74^2)/(8*(1+D76))</f>
        <v>0</v>
      </c>
      <c r="E89" s="43" t="s">
        <v>497</v>
      </c>
      <c r="J89" s="24"/>
      <c r="M89" s="12"/>
      <c r="N89" s="334"/>
      <c r="O89" s="12"/>
    </row>
    <row r="90" spans="1:21" s="47" customFormat="1" ht="15.95" hidden="1" customHeight="1" x14ac:dyDescent="0.15">
      <c r="B90" s="78" t="s">
        <v>120</v>
      </c>
      <c r="C90" s="37" t="s">
        <v>4</v>
      </c>
      <c r="D90" s="36" t="s">
        <v>383</v>
      </c>
      <c r="H90" s="46"/>
      <c r="J90" s="43"/>
      <c r="M90" s="12"/>
      <c r="N90" s="332"/>
      <c r="O90" s="43"/>
    </row>
    <row r="91" spans="1:21" s="47" customFormat="1" ht="15.95" hidden="1" customHeight="1" x14ac:dyDescent="0.15">
      <c r="B91" s="124"/>
      <c r="C91" s="37" t="s">
        <v>4</v>
      </c>
      <c r="D91" s="79">
        <f>(5*D72*D74^4/(384*D77*D78))-(D89*D74^2/(16*D77*D78))</f>
        <v>0</v>
      </c>
      <c r="E91" s="43" t="s">
        <v>496</v>
      </c>
      <c r="M91" s="12"/>
      <c r="N91" s="334"/>
      <c r="O91" s="12"/>
    </row>
    <row r="92" spans="1:21" s="47" customFormat="1" ht="15.95" hidden="1" customHeight="1" x14ac:dyDescent="0.15">
      <c r="B92" s="124"/>
      <c r="C92" s="37"/>
    </row>
    <row r="93" spans="1:21" s="47" customFormat="1" ht="15.95" hidden="1" customHeight="1" x14ac:dyDescent="0.15">
      <c r="B93" s="21" t="s">
        <v>144</v>
      </c>
    </row>
    <row r="94" spans="1:21" s="47" customFormat="1" ht="15.95" hidden="1" customHeight="1" x14ac:dyDescent="0.15">
      <c r="D94" s="52"/>
      <c r="O94" s="74"/>
      <c r="Q94" s="74"/>
      <c r="S94" s="74"/>
      <c r="U94" s="74"/>
    </row>
    <row r="95" spans="1:21" s="47" customFormat="1" ht="15.95" hidden="1" customHeight="1" x14ac:dyDescent="0.15">
      <c r="B95" s="22" t="s">
        <v>65</v>
      </c>
      <c r="C95" s="27" t="s">
        <v>4</v>
      </c>
      <c r="D95" s="167">
        <f>D14</f>
        <v>0</v>
      </c>
      <c r="E95" s="12" t="s">
        <v>498</v>
      </c>
      <c r="F95" s="12"/>
      <c r="G95" s="27" t="s">
        <v>9</v>
      </c>
      <c r="H95" s="22" t="s">
        <v>137</v>
      </c>
      <c r="I95" s="12"/>
      <c r="J95" s="12"/>
      <c r="K95" s="12"/>
      <c r="L95" s="12"/>
      <c r="M95" s="12"/>
      <c r="N95" s="12"/>
      <c r="O95" s="12"/>
    </row>
    <row r="96" spans="1:21" s="47" customFormat="1" ht="15.95" hidden="1" customHeight="1" x14ac:dyDescent="0.15">
      <c r="B96" s="35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</row>
    <row r="97" spans="2:15" s="47" customFormat="1" ht="15.95" hidden="1" customHeight="1" x14ac:dyDescent="0.15">
      <c r="B97" s="22" t="s">
        <v>134</v>
      </c>
      <c r="C97" s="27" t="s">
        <v>4</v>
      </c>
      <c r="D97" s="167">
        <f>D44</f>
        <v>15503.573333333332</v>
      </c>
      <c r="E97" s="12" t="s">
        <v>502</v>
      </c>
      <c r="F97" s="12"/>
      <c r="G97" s="27" t="s">
        <v>9</v>
      </c>
      <c r="H97" s="22" t="s">
        <v>138</v>
      </c>
      <c r="I97" s="12"/>
      <c r="J97" s="12"/>
      <c r="K97" s="12"/>
      <c r="L97" s="12"/>
      <c r="M97" s="12"/>
      <c r="N97" s="12"/>
      <c r="O97" s="12"/>
    </row>
    <row r="98" spans="2:15" s="47" customFormat="1" ht="15.95" hidden="1" customHeight="1" x14ac:dyDescent="0.15">
      <c r="B98" s="12"/>
      <c r="C98" s="12"/>
      <c r="D98" s="24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</row>
    <row r="99" spans="2:15" s="47" customFormat="1" ht="15.95" hidden="1" customHeight="1" x14ac:dyDescent="0.15">
      <c r="B99" s="12"/>
      <c r="C99" s="27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</row>
    <row r="100" spans="2:15" s="47" customFormat="1" ht="15.95" hidden="1" customHeight="1" x14ac:dyDescent="0.15">
      <c r="B100" s="35" t="s">
        <v>132</v>
      </c>
      <c r="C100" s="12"/>
      <c r="D100" s="28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</row>
    <row r="101" spans="2:15" s="47" customFormat="1" ht="15.95" hidden="1" customHeight="1" x14ac:dyDescent="0.15">
      <c r="B101" s="12"/>
      <c r="C101" s="12"/>
      <c r="D101" s="24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</row>
    <row r="102" spans="2:15" s="47" customFormat="1" ht="15.95" hidden="1" customHeight="1" x14ac:dyDescent="0.15">
      <c r="B102" s="32" t="s">
        <v>135</v>
      </c>
      <c r="C102" s="20" t="s">
        <v>4</v>
      </c>
      <c r="D102" s="36" t="s">
        <v>1045</v>
      </c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</row>
    <row r="103" spans="2:15" s="47" customFormat="1" ht="15.95" hidden="1" customHeight="1" x14ac:dyDescent="0.15">
      <c r="B103" s="12"/>
      <c r="C103" s="27" t="s">
        <v>4</v>
      </c>
      <c r="D103" s="29">
        <f>D95/D97</f>
        <v>0</v>
      </c>
      <c r="E103" s="12" t="s">
        <v>503</v>
      </c>
      <c r="F103" s="12"/>
      <c r="G103" s="12"/>
      <c r="H103" s="12"/>
      <c r="I103" s="12"/>
      <c r="J103" s="12"/>
      <c r="K103" s="12"/>
      <c r="L103" s="12"/>
      <c r="M103" s="12"/>
      <c r="N103" s="12"/>
      <c r="O103" s="12"/>
    </row>
    <row r="104" spans="2:15" s="47" customFormat="1" ht="15.95" hidden="1" customHeight="1" x14ac:dyDescent="0.15">
      <c r="B104" s="12"/>
      <c r="C104" s="12"/>
      <c r="D104" s="24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</row>
    <row r="105" spans="2:15" s="47" customFormat="1" ht="15.95" hidden="1" customHeight="1" x14ac:dyDescent="0.15">
      <c r="B105" s="12"/>
      <c r="C105" s="12"/>
      <c r="D105" s="24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</row>
    <row r="106" spans="2:15" s="47" customFormat="1" ht="15.95" hidden="1" customHeight="1" x14ac:dyDescent="0.15">
      <c r="B106" s="35" t="s">
        <v>133</v>
      </c>
      <c r="C106" s="12"/>
      <c r="D106" s="12"/>
      <c r="E106" s="24" t="str">
        <f>IF(N110=1,"","( Short Term Load )")</f>
        <v/>
      </c>
      <c r="F106" s="12"/>
      <c r="G106" s="12"/>
      <c r="H106" s="12"/>
      <c r="I106" s="12"/>
      <c r="J106" s="12"/>
      <c r="K106" s="12"/>
      <c r="L106" s="12"/>
      <c r="M106" s="352">
        <f>M1</f>
        <v>1</v>
      </c>
      <c r="N106" s="12"/>
    </row>
    <row r="107" spans="2:15" s="47" customFormat="1" ht="15.95" hidden="1" customHeight="1" x14ac:dyDescent="0.15">
      <c r="B107" s="35"/>
      <c r="C107" s="12"/>
      <c r="D107" s="12"/>
      <c r="E107" s="12"/>
      <c r="F107" s="12"/>
      <c r="G107" s="27"/>
      <c r="H107" s="22"/>
      <c r="I107" s="12"/>
      <c r="J107" s="12"/>
      <c r="K107" s="12"/>
      <c r="L107" s="12"/>
      <c r="M107" s="350">
        <v>1</v>
      </c>
      <c r="N107" s="351">
        <v>275</v>
      </c>
      <c r="O107" s="349" t="s">
        <v>649</v>
      </c>
    </row>
    <row r="108" spans="2:15" s="47" customFormat="1" ht="15.95" hidden="1" customHeight="1" x14ac:dyDescent="0.15">
      <c r="B108" s="36" t="s">
        <v>140</v>
      </c>
      <c r="C108" s="20" t="s">
        <v>4</v>
      </c>
      <c r="D108" s="29">
        <f>IF(M106=M107,N107,N108)</f>
        <v>275</v>
      </c>
      <c r="E108" s="29" t="s">
        <v>457</v>
      </c>
      <c r="F108" s="24"/>
      <c r="G108" s="20" t="s">
        <v>9</v>
      </c>
      <c r="H108" s="36" t="str">
        <f>IF(M106=M107,O107,O108)</f>
        <v>SS 275  Yield Strength</v>
      </c>
      <c r="I108" s="12"/>
      <c r="J108" s="12"/>
      <c r="K108" s="12"/>
      <c r="L108" s="12"/>
      <c r="M108" s="350">
        <v>2</v>
      </c>
      <c r="N108" s="351">
        <v>205</v>
      </c>
      <c r="O108" s="349" t="s">
        <v>885</v>
      </c>
    </row>
    <row r="109" spans="2:15" s="47" customFormat="1" ht="15.95" hidden="1" customHeight="1" thickBot="1" x14ac:dyDescent="0.2">
      <c r="B109" s="36" t="s">
        <v>319</v>
      </c>
      <c r="C109" s="20" t="s">
        <v>4</v>
      </c>
      <c r="D109" s="80" t="s">
        <v>650</v>
      </c>
      <c r="E109" s="36" t="str">
        <f>IF(N110=1,"","×  1.33")</f>
        <v/>
      </c>
      <c r="F109" s="24"/>
      <c r="G109" s="24"/>
      <c r="H109" s="24"/>
      <c r="I109" s="12"/>
      <c r="J109" s="24"/>
      <c r="K109" s="24"/>
      <c r="L109" s="24"/>
      <c r="M109" s="24"/>
      <c r="N109" s="37" t="s">
        <v>141</v>
      </c>
      <c r="O109" s="12"/>
    </row>
    <row r="110" spans="2:15" s="47" customFormat="1" ht="15.95" hidden="1" customHeight="1" thickBot="1" x14ac:dyDescent="0.2">
      <c r="B110" s="38"/>
      <c r="C110" s="20" t="s">
        <v>4</v>
      </c>
      <c r="D110" s="29">
        <f>0.66*D108</f>
        <v>181.5</v>
      </c>
      <c r="E110" s="29" t="s">
        <v>457</v>
      </c>
      <c r="F110" s="24"/>
      <c r="G110" s="24"/>
      <c r="H110" s="24"/>
      <c r="I110" s="24"/>
      <c r="J110" s="24"/>
      <c r="K110" s="24"/>
      <c r="L110" s="24"/>
      <c r="M110" s="12"/>
      <c r="N110" s="125">
        <v>1</v>
      </c>
      <c r="O110" s="12"/>
    </row>
    <row r="111" spans="2:15" s="47" customFormat="1" ht="15.95" hidden="1" customHeight="1" x14ac:dyDescent="0.15">
      <c r="B111" s="26"/>
      <c r="C111" s="20"/>
      <c r="D111" s="29"/>
      <c r="E111" s="12"/>
      <c r="F111" s="12"/>
      <c r="G111" s="24"/>
      <c r="H111" s="24"/>
      <c r="I111" s="24"/>
      <c r="J111" s="24"/>
      <c r="K111" s="24"/>
      <c r="L111" s="24"/>
      <c r="M111" s="12"/>
      <c r="N111" s="164"/>
      <c r="O111" s="12"/>
    </row>
    <row r="112" spans="2:15" ht="15.95" hidden="1" customHeight="1" x14ac:dyDescent="0.15">
      <c r="B112" s="35" t="s">
        <v>142</v>
      </c>
      <c r="N112" s="20"/>
    </row>
    <row r="113" spans="2:15" ht="15.95" hidden="1" customHeight="1" x14ac:dyDescent="0.15">
      <c r="B113" s="35"/>
      <c r="N113" s="20"/>
    </row>
    <row r="114" spans="2:15" ht="15.95" hidden="1" customHeight="1" x14ac:dyDescent="0.15">
      <c r="B114" s="36" t="s">
        <v>143</v>
      </c>
      <c r="C114" s="20" t="s">
        <v>4</v>
      </c>
      <c r="D114" s="38">
        <f>D103/D110</f>
        <v>0</v>
      </c>
      <c r="E114" s="39" t="str">
        <f>IF(D114&gt;F114,"&gt;","&lt;")</f>
        <v>&lt;</v>
      </c>
      <c r="F114" s="19">
        <v>1</v>
      </c>
      <c r="G114" s="107" t="str">
        <f>IF(D114&lt;F114,"O.K.","N.G.")</f>
        <v>O.K.</v>
      </c>
    </row>
    <row r="115" spans="2:15" s="47" customFormat="1" ht="15.95" hidden="1" customHeight="1" x14ac:dyDescent="0.15">
      <c r="B115" s="26"/>
      <c r="C115" s="20"/>
      <c r="D115" s="29"/>
      <c r="E115" s="12"/>
      <c r="F115" s="12"/>
      <c r="G115" s="24"/>
      <c r="H115" s="24"/>
      <c r="I115" s="24"/>
      <c r="J115" s="24"/>
      <c r="K115" s="24"/>
      <c r="L115" s="24"/>
      <c r="M115" s="12"/>
      <c r="N115" s="164"/>
      <c r="O115" s="12"/>
    </row>
    <row r="116" spans="2:15" s="47" customFormat="1" ht="15.95" hidden="1" customHeight="1" x14ac:dyDescent="0.15">
      <c r="B116" s="26"/>
      <c r="C116" s="20"/>
      <c r="D116" s="29"/>
      <c r="E116" s="12"/>
      <c r="F116" s="12"/>
      <c r="G116" s="24"/>
      <c r="H116" s="24"/>
      <c r="I116" s="24"/>
      <c r="J116" s="24"/>
      <c r="K116" s="24"/>
      <c r="L116" s="24"/>
      <c r="M116" s="12"/>
      <c r="N116" s="164"/>
      <c r="O116" s="12"/>
    </row>
    <row r="117" spans="2:15" ht="15.95" hidden="1" customHeight="1" x14ac:dyDescent="0.15">
      <c r="B117" s="40" t="s">
        <v>145</v>
      </c>
    </row>
    <row r="118" spans="2:15" ht="15.95" hidden="1" customHeight="1" x14ac:dyDescent="0.15"/>
    <row r="119" spans="2:15" ht="15.95" hidden="1" customHeight="1" x14ac:dyDescent="0.15">
      <c r="B119" s="35" t="s">
        <v>147</v>
      </c>
    </row>
    <row r="120" spans="2:15" ht="15.95" hidden="1" customHeight="1" x14ac:dyDescent="0.15">
      <c r="B120" s="35"/>
    </row>
    <row r="121" spans="2:15" ht="15.95" hidden="1" customHeight="1" x14ac:dyDescent="0.15">
      <c r="B121" s="78" t="s">
        <v>120</v>
      </c>
      <c r="C121" s="20" t="s">
        <v>4</v>
      </c>
      <c r="D121" s="24">
        <f>D16</f>
        <v>0</v>
      </c>
      <c r="E121" s="29" t="s">
        <v>479</v>
      </c>
    </row>
    <row r="122" spans="2:15" ht="15.95" hidden="1" customHeight="1" x14ac:dyDescent="0.15"/>
    <row r="123" spans="2:15" ht="15.95" hidden="1" customHeight="1" x14ac:dyDescent="0.15"/>
    <row r="124" spans="2:15" ht="15.95" hidden="1" customHeight="1" x14ac:dyDescent="0.15">
      <c r="B124" s="35" t="s">
        <v>146</v>
      </c>
      <c r="E124" s="42" t="s">
        <v>150</v>
      </c>
    </row>
    <row r="125" spans="2:15" ht="15.95" hidden="1" customHeight="1" x14ac:dyDescent="0.15">
      <c r="B125" s="35"/>
    </row>
    <row r="126" spans="2:15" ht="15.95" hidden="1" customHeight="1" x14ac:dyDescent="0.15">
      <c r="B126" s="78" t="s">
        <v>2</v>
      </c>
      <c r="C126" s="20" t="s">
        <v>4</v>
      </c>
      <c r="D126" s="167">
        <f>D10</f>
        <v>4000</v>
      </c>
      <c r="E126" s="24" t="str">
        <f>IF(D126&gt;4110,"mm      &gt;     4110 mm","mm     ≤     4110 mm")</f>
        <v>mm     ≤     4110 mm</v>
      </c>
      <c r="M126" s="43" t="s">
        <v>151</v>
      </c>
      <c r="N126" s="41">
        <f>D126/240+6.35</f>
        <v>23.016666666666666</v>
      </c>
    </row>
    <row r="127" spans="2:15" ht="15.95" hidden="1" customHeight="1" x14ac:dyDescent="0.15">
      <c r="B127" s="78" t="s">
        <v>148</v>
      </c>
      <c r="C127" s="20" t="s">
        <v>4</v>
      </c>
      <c r="D127" s="177">
        <f>D126</f>
        <v>4000</v>
      </c>
      <c r="E127" s="35" t="str">
        <f>IF(D126&lt;4110,"mm      /     175","mm      /      240 + 6.35 mm ")</f>
        <v>mm      /     175</v>
      </c>
      <c r="M127" s="43" t="s">
        <v>152</v>
      </c>
      <c r="N127" s="41">
        <f>D126/175</f>
        <v>22.857142857142858</v>
      </c>
    </row>
    <row r="128" spans="2:15" ht="15.95" hidden="1" customHeight="1" x14ac:dyDescent="0.15">
      <c r="B128" s="38"/>
      <c r="C128" s="20" t="s">
        <v>4</v>
      </c>
      <c r="D128" s="38">
        <f>IF(D126&gt;4110,N126,N127)</f>
        <v>22.857142857142858</v>
      </c>
      <c r="E128" s="24" t="s">
        <v>496</v>
      </c>
    </row>
    <row r="129" spans="1:21" ht="15.95" hidden="1" customHeight="1" x14ac:dyDescent="0.15"/>
    <row r="130" spans="1:21" ht="15.95" hidden="1" customHeight="1" x14ac:dyDescent="0.15"/>
    <row r="131" spans="1:21" ht="15.95" hidden="1" customHeight="1" x14ac:dyDescent="0.15">
      <c r="B131" s="35" t="s">
        <v>153</v>
      </c>
    </row>
    <row r="132" spans="1:21" s="20" customFormat="1" ht="15.95" hidden="1" customHeight="1" x14ac:dyDescent="0.15">
      <c r="A132" s="43"/>
      <c r="C132" s="43"/>
      <c r="D132" s="43"/>
      <c r="E132" s="43"/>
      <c r="F132" s="43"/>
      <c r="G132" s="43"/>
      <c r="H132" s="43"/>
      <c r="I132" s="43"/>
      <c r="J132" s="43"/>
      <c r="K132" s="43"/>
      <c r="L132" s="43"/>
      <c r="M132" s="43"/>
      <c r="O132" s="24"/>
      <c r="P132" s="24"/>
      <c r="Q132" s="24"/>
      <c r="R132" s="24"/>
      <c r="S132" s="24"/>
      <c r="T132" s="24"/>
      <c r="U132" s="24"/>
    </row>
    <row r="133" spans="1:21" s="20" customFormat="1" ht="15.95" hidden="1" customHeight="1" x14ac:dyDescent="0.15">
      <c r="A133" s="24"/>
      <c r="B133" s="36" t="s">
        <v>359</v>
      </c>
      <c r="C133" s="20" t="s">
        <v>4</v>
      </c>
      <c r="D133" s="38">
        <f>D121/(D128)</f>
        <v>0</v>
      </c>
      <c r="E133" s="39" t="str">
        <f>IF(D133&gt;F133,"&gt;","&lt;")</f>
        <v>&lt;</v>
      </c>
      <c r="F133" s="19">
        <v>1</v>
      </c>
      <c r="G133" s="107" t="str">
        <f>IF(D133&lt;F133,"O.K.","N.G.")</f>
        <v>O.K.</v>
      </c>
      <c r="I133" s="43"/>
      <c r="J133" s="43"/>
      <c r="K133" s="43"/>
      <c r="L133" s="43"/>
      <c r="M133" s="43"/>
      <c r="O133" s="24"/>
      <c r="P133" s="24"/>
      <c r="Q133" s="24"/>
      <c r="R133" s="24"/>
      <c r="S133" s="24"/>
      <c r="T133" s="24"/>
      <c r="U133" s="24"/>
    </row>
    <row r="134" spans="1:21" ht="15.95" hidden="1" customHeight="1" x14ac:dyDescent="0.15"/>
  </sheetData>
  <sheetProtection algorithmName="SHA-512" hashValue="8+k7vxG1p+6dYY9/vW1+fBj+hfnvsCkTDsE/uKGB3jLSRTj9J47tg5iPhqGTR3Z6E/HPA+DBRHajbjuHQZz9+w==" saltValue="Gf2grhayFRzbdCN59v7UWw==" spinCount="100000" sheet="1" selectLockedCells="1"/>
  <protectedRanges>
    <protectedRange sqref="D37:D40" name="범위1_3"/>
    <protectedRange sqref="D7:D11" name="범위1_2_1"/>
  </protectedRanges>
  <mergeCells count="5">
    <mergeCell ref="B22:E33"/>
    <mergeCell ref="M6:N6"/>
    <mergeCell ref="N12:N13"/>
    <mergeCell ref="O12:O13"/>
    <mergeCell ref="B46:K46"/>
  </mergeCells>
  <phoneticPr fontId="2" type="noConversion"/>
  <pageMargins left="0.51181102362204722" right="0.51181102362204722" top="0.78740157480314965" bottom="0.59055118110236227" header="0.39370078740157483" footer="0.39370078740157483"/>
  <pageSetup paperSize="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832BE0-D408-49AE-BFDC-7C3B55DAB977}">
  <sheetPr codeName="Sheet15">
    <tabColor rgb="FFC00000"/>
  </sheetPr>
  <dimension ref="A1:Y258"/>
  <sheetViews>
    <sheetView view="pageBreakPreview" zoomScale="75" zoomScaleSheetLayoutView="75" workbookViewId="0">
      <selection activeCell="L1" sqref="L1"/>
    </sheetView>
  </sheetViews>
  <sheetFormatPr defaultColWidth="5.77734375" defaultRowHeight="15" customHeight="1" x14ac:dyDescent="0.15"/>
  <cols>
    <col min="1" max="1" width="2.77734375" style="191" customWidth="1"/>
    <col min="2" max="10" width="8.109375" style="191" customWidth="1"/>
    <col min="11" max="11" width="2.77734375" style="191" customWidth="1"/>
    <col min="12" max="12" width="6.77734375" style="191" customWidth="1"/>
    <col min="13" max="13" width="9.33203125" style="193" customWidth="1"/>
    <col min="14" max="14" width="8.44140625" style="191" customWidth="1"/>
    <col min="15" max="15" width="11.77734375" style="191" customWidth="1"/>
    <col min="16" max="16" width="6.77734375" style="191" customWidth="1"/>
    <col min="17" max="18" width="7.33203125" style="191" customWidth="1"/>
    <col min="19" max="19" width="6.77734375" style="191" customWidth="1"/>
    <col min="20" max="20" width="10.77734375" style="191" customWidth="1"/>
    <col min="21" max="21" width="6.77734375" style="191" customWidth="1"/>
    <col min="22" max="25" width="14.77734375" style="191" customWidth="1"/>
    <col min="26" max="29" width="20.77734375" style="191" customWidth="1"/>
    <col min="30" max="16384" width="5.77734375" style="191"/>
  </cols>
  <sheetData>
    <row r="1" spans="1:23" ht="15.95" customHeight="1" x14ac:dyDescent="0.15">
      <c r="A1" s="368" t="s">
        <v>894</v>
      </c>
      <c r="C1" s="192"/>
      <c r="D1" s="192"/>
      <c r="E1" s="192"/>
      <c r="F1" s="192"/>
      <c r="G1" s="192"/>
      <c r="H1" s="192"/>
      <c r="I1" s="192"/>
      <c r="J1" s="192"/>
      <c r="K1" s="192"/>
      <c r="L1" s="577">
        <v>1</v>
      </c>
      <c r="M1" s="24"/>
      <c r="N1" s="24"/>
      <c r="O1" s="24"/>
      <c r="P1" s="24"/>
    </row>
    <row r="2" spans="1:23" ht="15.95" customHeight="1" x14ac:dyDescent="0.15">
      <c r="A2" s="192"/>
      <c r="B2" s="192"/>
      <c r="C2" s="192"/>
      <c r="D2" s="192"/>
      <c r="E2" s="192"/>
      <c r="F2" s="192"/>
      <c r="G2" s="192"/>
      <c r="H2" s="192"/>
      <c r="I2" s="192"/>
      <c r="J2" s="192"/>
      <c r="K2" s="192"/>
      <c r="L2" s="353">
        <v>1</v>
      </c>
      <c r="M2" s="348">
        <v>210000</v>
      </c>
      <c r="N2" s="354" t="s">
        <v>889</v>
      </c>
      <c r="O2" s="24"/>
      <c r="P2" s="24"/>
    </row>
    <row r="3" spans="1:23" ht="15.95" customHeight="1" x14ac:dyDescent="0.15">
      <c r="A3" s="192"/>
      <c r="B3" s="19" t="s">
        <v>544</v>
      </c>
      <c r="C3" s="192"/>
      <c r="D3" s="192"/>
      <c r="E3" s="192"/>
      <c r="F3" s="192"/>
      <c r="G3" s="192"/>
      <c r="H3" s="192"/>
      <c r="I3" s="192"/>
      <c r="J3" s="192"/>
      <c r="K3" s="192"/>
      <c r="L3" s="353">
        <v>2</v>
      </c>
      <c r="M3" s="348">
        <v>193000</v>
      </c>
      <c r="N3" s="354" t="s">
        <v>886</v>
      </c>
      <c r="O3" s="24"/>
      <c r="P3" s="24"/>
      <c r="Q3" s="208" t="s">
        <v>617</v>
      </c>
      <c r="R3" s="205" t="s">
        <v>618</v>
      </c>
      <c r="S3" s="201" t="s">
        <v>619</v>
      </c>
    </row>
    <row r="4" spans="1:23" ht="15.95" customHeight="1" x14ac:dyDescent="0.15">
      <c r="A4" s="192"/>
      <c r="B4" s="192"/>
      <c r="C4" s="192"/>
      <c r="D4" s="192"/>
      <c r="E4" s="192"/>
      <c r="F4" s="192"/>
      <c r="G4" s="192"/>
      <c r="H4" s="192"/>
      <c r="I4" s="192"/>
      <c r="J4" s="192"/>
      <c r="K4" s="192"/>
      <c r="L4" s="192"/>
      <c r="Q4" s="201">
        <v>12</v>
      </c>
      <c r="R4" s="579">
        <v>6</v>
      </c>
      <c r="S4" s="201" t="s">
        <v>623</v>
      </c>
    </row>
    <row r="5" spans="1:23" ht="15.95" customHeight="1" x14ac:dyDescent="0.15">
      <c r="A5" s="192"/>
      <c r="B5" s="197" t="s">
        <v>547</v>
      </c>
      <c r="C5" s="193" t="s">
        <v>4</v>
      </c>
      <c r="D5" s="182">
        <f>(SUMPRODUCT((M7:M9=M6)*(N6:O6=L6),N7:O9))</f>
        <v>0</v>
      </c>
      <c r="E5" s="192" t="s">
        <v>456</v>
      </c>
      <c r="H5" s="192" t="s">
        <v>548</v>
      </c>
      <c r="J5" s="192"/>
      <c r="K5" s="192"/>
      <c r="L5" s="694" t="s">
        <v>543</v>
      </c>
      <c r="M5" s="694"/>
      <c r="N5" s="188"/>
      <c r="O5" s="189"/>
      <c r="Q5" s="201">
        <v>16</v>
      </c>
      <c r="R5" s="579">
        <v>10</v>
      </c>
      <c r="S5" s="201" t="s">
        <v>624</v>
      </c>
    </row>
    <row r="6" spans="1:23" s="24" customFormat="1" ht="15.95" customHeight="1" x14ac:dyDescent="0.15">
      <c r="A6" s="19"/>
      <c r="B6" s="197" t="s">
        <v>552</v>
      </c>
      <c r="C6" s="193" t="s">
        <v>4</v>
      </c>
      <c r="D6" s="227">
        <f>IF(L1=L2,M2,M3)</f>
        <v>210000</v>
      </c>
      <c r="E6" s="210" t="s">
        <v>457</v>
      </c>
      <c r="F6" s="228" t="str">
        <f>IF(L1=L2,N2,N3)</f>
        <v>( SS 275 )</v>
      </c>
      <c r="G6" s="191"/>
      <c r="H6" s="192" t="s">
        <v>553</v>
      </c>
      <c r="J6" s="191"/>
      <c r="K6" s="19"/>
      <c r="L6" s="562" t="s">
        <v>541</v>
      </c>
      <c r="M6" s="563">
        <v>1</v>
      </c>
      <c r="N6" s="185" t="s">
        <v>541</v>
      </c>
      <c r="O6" s="185" t="s">
        <v>542</v>
      </c>
      <c r="P6" s="19"/>
      <c r="Q6" s="201">
        <v>18</v>
      </c>
      <c r="R6" s="579">
        <v>12</v>
      </c>
      <c r="S6" s="201" t="s">
        <v>1002</v>
      </c>
    </row>
    <row r="7" spans="1:23" ht="15.95" customHeight="1" x14ac:dyDescent="0.15">
      <c r="A7" s="192"/>
      <c r="B7" s="197" t="s">
        <v>554</v>
      </c>
      <c r="C7" s="193" t="s">
        <v>4</v>
      </c>
      <c r="D7" s="573">
        <v>24</v>
      </c>
      <c r="E7" s="199" t="s">
        <v>555</v>
      </c>
      <c r="H7" s="192" t="s">
        <v>556</v>
      </c>
      <c r="J7" s="193"/>
      <c r="L7" s="190" t="s">
        <v>453</v>
      </c>
      <c r="M7" s="186">
        <v>1</v>
      </c>
      <c r="N7" s="187" t="str">
        <f>풍하중!$T$8</f>
        <v>-</v>
      </c>
      <c r="O7" s="187">
        <f>풍하중!$U$8</f>
        <v>1.52</v>
      </c>
      <c r="Q7" s="201">
        <v>22</v>
      </c>
      <c r="R7" s="579">
        <v>10</v>
      </c>
      <c r="S7" s="201" t="s">
        <v>625</v>
      </c>
    </row>
    <row r="8" spans="1:23" ht="15.95" customHeight="1" x14ac:dyDescent="0.15">
      <c r="A8" s="192"/>
      <c r="B8" s="197" t="s">
        <v>557</v>
      </c>
      <c r="C8" s="193" t="s">
        <v>4</v>
      </c>
      <c r="D8" s="574">
        <v>4</v>
      </c>
      <c r="E8" s="199" t="s">
        <v>558</v>
      </c>
      <c r="H8" s="192" t="s">
        <v>559</v>
      </c>
      <c r="J8" s="193"/>
      <c r="L8" s="190" t="s">
        <v>454</v>
      </c>
      <c r="M8" s="186">
        <v>2</v>
      </c>
      <c r="N8" s="187" t="str">
        <f>풍하중!$T$9</f>
        <v>-</v>
      </c>
      <c r="O8" s="187">
        <f>풍하중!$U$9</f>
        <v>-1.1619999999999999</v>
      </c>
      <c r="Q8" s="201">
        <v>24</v>
      </c>
      <c r="R8" s="579">
        <v>12</v>
      </c>
      <c r="S8" s="201" t="s">
        <v>626</v>
      </c>
    </row>
    <row r="9" spans="1:23" ht="15.95" customHeight="1" x14ac:dyDescent="0.15">
      <c r="A9" s="192"/>
      <c r="B9" s="197" t="s">
        <v>3</v>
      </c>
      <c r="C9" s="193" t="s">
        <v>4</v>
      </c>
      <c r="D9" s="573">
        <v>1500</v>
      </c>
      <c r="E9" s="192" t="s">
        <v>468</v>
      </c>
      <c r="H9" s="192" t="s">
        <v>545</v>
      </c>
      <c r="J9" s="192"/>
      <c r="K9" s="192"/>
      <c r="L9" s="190" t="s">
        <v>455</v>
      </c>
      <c r="M9" s="186">
        <v>3</v>
      </c>
      <c r="N9" s="187" t="str">
        <f>풍하중!$T$10</f>
        <v>-</v>
      </c>
      <c r="O9" s="187">
        <f>풍하중!$U$10</f>
        <v>-1.39</v>
      </c>
      <c r="Q9" s="201">
        <v>28</v>
      </c>
      <c r="R9" s="579">
        <v>16</v>
      </c>
      <c r="S9" s="201" t="s">
        <v>627</v>
      </c>
    </row>
    <row r="10" spans="1:23" ht="15.95" customHeight="1" x14ac:dyDescent="0.15">
      <c r="A10" s="192"/>
      <c r="B10" s="197" t="s">
        <v>560</v>
      </c>
      <c r="C10" s="193" t="s">
        <v>4</v>
      </c>
      <c r="D10" s="573">
        <v>650</v>
      </c>
      <c r="E10" s="192" t="s">
        <v>468</v>
      </c>
      <c r="H10" s="192" t="s">
        <v>546</v>
      </c>
      <c r="J10" s="192"/>
      <c r="K10" s="192"/>
      <c r="L10" s="474"/>
      <c r="M10" s="192"/>
      <c r="N10" s="192"/>
      <c r="O10" s="192"/>
      <c r="R10" s="80"/>
    </row>
    <row r="11" spans="1:23" ht="15.95" customHeight="1" x14ac:dyDescent="0.15">
      <c r="A11" s="192"/>
      <c r="B11" s="197" t="s">
        <v>561</v>
      </c>
      <c r="C11" s="193" t="s">
        <v>4</v>
      </c>
      <c r="D11" s="575">
        <v>1700</v>
      </c>
      <c r="E11" s="192" t="s">
        <v>468</v>
      </c>
      <c r="H11" s="192"/>
      <c r="J11" s="192"/>
      <c r="K11" s="192"/>
      <c r="L11" s="192"/>
      <c r="M11" s="192"/>
      <c r="N11" s="192"/>
      <c r="O11" s="192"/>
      <c r="R11" s="80"/>
      <c r="S11" s="24"/>
      <c r="T11" s="80"/>
      <c r="U11" s="24"/>
      <c r="V11" s="80"/>
      <c r="W11" s="24"/>
    </row>
    <row r="12" spans="1:23" ht="15.95" customHeight="1" x14ac:dyDescent="0.15">
      <c r="A12" s="192"/>
      <c r="B12" s="197" t="s">
        <v>562</v>
      </c>
      <c r="C12" s="193" t="s">
        <v>4</v>
      </c>
      <c r="D12" s="229">
        <f>D84</f>
        <v>75954.220413749994</v>
      </c>
      <c r="E12" s="192" t="s">
        <v>882</v>
      </c>
      <c r="F12" s="215" t="s">
        <v>563</v>
      </c>
      <c r="H12" s="192" t="s">
        <v>564</v>
      </c>
      <c r="J12" s="192"/>
      <c r="K12" s="192"/>
      <c r="T12" s="80"/>
      <c r="U12" s="24"/>
      <c r="V12" s="80"/>
      <c r="W12" s="24"/>
    </row>
    <row r="13" spans="1:23" ht="15.95" customHeight="1" thickBot="1" x14ac:dyDescent="0.2">
      <c r="A13" s="192"/>
      <c r="B13" s="197" t="s">
        <v>565</v>
      </c>
      <c r="C13" s="193" t="s">
        <v>4</v>
      </c>
      <c r="D13" s="229">
        <f>D132</f>
        <v>0</v>
      </c>
      <c r="E13" s="192" t="str">
        <f>E12</f>
        <v>N.mm</v>
      </c>
      <c r="F13" s="215" t="s">
        <v>563</v>
      </c>
      <c r="H13" s="192"/>
      <c r="J13" s="192"/>
      <c r="K13" s="192"/>
      <c r="T13" s="80"/>
      <c r="U13" s="24"/>
      <c r="V13" s="80"/>
      <c r="W13" s="24"/>
    </row>
    <row r="14" spans="1:23" ht="15.95" customHeight="1" x14ac:dyDescent="0.15">
      <c r="A14" s="192"/>
      <c r="B14" s="197" t="s">
        <v>566</v>
      </c>
      <c r="C14" s="193" t="s">
        <v>4</v>
      </c>
      <c r="D14" s="230">
        <f>D90</f>
        <v>0.12407364563684169</v>
      </c>
      <c r="E14" s="192" t="s">
        <v>468</v>
      </c>
      <c r="F14" s="215" t="s">
        <v>563</v>
      </c>
      <c r="H14" s="192" t="s">
        <v>567</v>
      </c>
      <c r="J14" s="231"/>
      <c r="K14" s="192"/>
      <c r="M14" s="138" t="s">
        <v>287</v>
      </c>
      <c r="N14" s="139"/>
      <c r="O14" s="140"/>
      <c r="T14" s="80"/>
      <c r="U14" s="24"/>
      <c r="V14" s="80"/>
      <c r="W14" s="24"/>
    </row>
    <row r="15" spans="1:23" ht="15.95" customHeight="1" x14ac:dyDescent="0.15">
      <c r="A15" s="192"/>
      <c r="B15" s="197" t="s">
        <v>568</v>
      </c>
      <c r="C15" s="193" t="s">
        <v>4</v>
      </c>
      <c r="D15" s="230">
        <f>D138</f>
        <v>0</v>
      </c>
      <c r="E15" s="192" t="s">
        <v>468</v>
      </c>
      <c r="F15" s="215" t="s">
        <v>563</v>
      </c>
      <c r="G15" s="192"/>
      <c r="I15" s="192"/>
      <c r="J15" s="231"/>
      <c r="K15" s="192"/>
      <c r="M15" s="71" t="s">
        <v>1116</v>
      </c>
      <c r="N15" s="565">
        <v>60</v>
      </c>
      <c r="O15" s="86" t="s">
        <v>458</v>
      </c>
      <c r="T15" s="80"/>
      <c r="U15" s="24"/>
      <c r="V15" s="80"/>
      <c r="W15" s="24"/>
    </row>
    <row r="16" spans="1:23" ht="15.95" customHeight="1" x14ac:dyDescent="0.15">
      <c r="A16" s="192"/>
      <c r="B16" s="192"/>
      <c r="C16" s="232"/>
      <c r="D16" s="232"/>
      <c r="E16" s="232"/>
      <c r="I16" s="192"/>
      <c r="J16" s="192"/>
      <c r="K16" s="192"/>
      <c r="L16" s="355"/>
      <c r="M16" s="71" t="s">
        <v>196</v>
      </c>
      <c r="N16" s="565">
        <v>200</v>
      </c>
      <c r="O16" s="86" t="s">
        <v>458</v>
      </c>
      <c r="T16" s="80"/>
      <c r="U16" s="24"/>
      <c r="V16" s="80"/>
      <c r="W16" s="24"/>
    </row>
    <row r="17" spans="1:21" ht="15.95" customHeight="1" x14ac:dyDescent="0.15">
      <c r="A17" s="192"/>
      <c r="B17" s="19" t="s">
        <v>569</v>
      </c>
      <c r="C17" s="233"/>
      <c r="D17" s="232"/>
      <c r="F17" s="215" t="s">
        <v>563</v>
      </c>
      <c r="J17" s="192"/>
      <c r="K17" s="192"/>
      <c r="L17" s="355"/>
      <c r="M17" s="71" t="s">
        <v>1117</v>
      </c>
      <c r="N17" s="565">
        <v>2</v>
      </c>
      <c r="O17" s="86" t="s">
        <v>458</v>
      </c>
      <c r="S17" s="192"/>
    </row>
    <row r="18" spans="1:21" ht="15.95" customHeight="1" thickBot="1" x14ac:dyDescent="0.2">
      <c r="A18" s="192"/>
      <c r="B18" s="192"/>
      <c r="C18" s="233"/>
      <c r="D18" s="232"/>
      <c r="J18" s="192"/>
      <c r="K18" s="192"/>
      <c r="M18" s="71" t="s">
        <v>1118</v>
      </c>
      <c r="N18" s="152">
        <f>N17</f>
        <v>2</v>
      </c>
      <c r="O18" s="86" t="s">
        <v>458</v>
      </c>
      <c r="S18" s="192"/>
      <c r="T18" s="80"/>
      <c r="U18" s="24"/>
    </row>
    <row r="19" spans="1:21" ht="15.95" customHeight="1" x14ac:dyDescent="0.15">
      <c r="A19" s="192"/>
      <c r="B19" s="234" t="s">
        <v>570</v>
      </c>
      <c r="C19" s="234" t="s">
        <v>571</v>
      </c>
      <c r="D19" s="235" t="s">
        <v>1115</v>
      </c>
      <c r="H19" s="711" t="s">
        <v>572</v>
      </c>
      <c r="I19" s="712"/>
      <c r="J19" s="192"/>
      <c r="K19" s="192"/>
      <c r="M19" s="84" t="s">
        <v>1119</v>
      </c>
      <c r="N19" s="151">
        <f>(N21*N20)-(N29*N28)</f>
        <v>1024</v>
      </c>
      <c r="O19" s="85" t="s">
        <v>1120</v>
      </c>
      <c r="S19" s="201"/>
      <c r="T19" s="80"/>
      <c r="U19" s="24"/>
    </row>
    <row r="20" spans="1:21" ht="15.95" customHeight="1" x14ac:dyDescent="0.15">
      <c r="A20" s="192"/>
      <c r="B20" s="236" t="s">
        <v>45</v>
      </c>
      <c r="C20" s="237" t="s">
        <v>573</v>
      </c>
      <c r="D20" s="287">
        <f>N19</f>
        <v>1024</v>
      </c>
      <c r="H20" s="576" t="s">
        <v>574</v>
      </c>
      <c r="I20" s="238" t="s">
        <v>575</v>
      </c>
      <c r="J20" s="24"/>
      <c r="K20" s="239"/>
      <c r="M20" s="71" t="s">
        <v>1116</v>
      </c>
      <c r="N20" s="23">
        <f>N15</f>
        <v>60</v>
      </c>
      <c r="O20" s="86" t="s">
        <v>458</v>
      </c>
      <c r="S20" s="201"/>
      <c r="T20" s="80"/>
      <c r="U20" s="24"/>
    </row>
    <row r="21" spans="1:21" ht="15.95" customHeight="1" x14ac:dyDescent="0.15">
      <c r="A21" s="192"/>
      <c r="B21" s="236" t="s">
        <v>576</v>
      </c>
      <c r="C21" s="237" t="s">
        <v>577</v>
      </c>
      <c r="D21" s="240">
        <f>N24</f>
        <v>731605.33333333337</v>
      </c>
      <c r="F21" s="47"/>
      <c r="G21" s="24"/>
      <c r="H21" s="24"/>
      <c r="I21" s="24"/>
      <c r="J21" s="24"/>
      <c r="K21" s="239"/>
      <c r="M21" s="71" t="s">
        <v>196</v>
      </c>
      <c r="N21" s="23">
        <f>N16</f>
        <v>200</v>
      </c>
      <c r="O21" s="86" t="s">
        <v>458</v>
      </c>
      <c r="U21" s="24"/>
    </row>
    <row r="22" spans="1:21" ht="15.95" customHeight="1" x14ac:dyDescent="0.15">
      <c r="A22" s="192"/>
      <c r="B22" s="236" t="s">
        <v>578</v>
      </c>
      <c r="C22" s="237" t="s">
        <v>577</v>
      </c>
      <c r="D22" s="240">
        <f>N25</f>
        <v>4862165.333333333</v>
      </c>
      <c r="G22" s="210"/>
      <c r="H22" s="210"/>
      <c r="I22" s="210"/>
      <c r="K22" s="192"/>
      <c r="M22" s="71" t="s">
        <v>1117</v>
      </c>
      <c r="N22" s="23">
        <f>N17</f>
        <v>2</v>
      </c>
      <c r="O22" s="86" t="s">
        <v>458</v>
      </c>
      <c r="S22" s="201"/>
      <c r="T22" s="80"/>
      <c r="U22" s="24"/>
    </row>
    <row r="23" spans="1:21" ht="15.95" customHeight="1" x14ac:dyDescent="0.15">
      <c r="A23" s="192"/>
      <c r="B23" s="236" t="s">
        <v>579</v>
      </c>
      <c r="C23" s="237" t="s">
        <v>580</v>
      </c>
      <c r="D23" s="657">
        <f>N21/2</f>
        <v>100</v>
      </c>
      <c r="G23" s="210"/>
      <c r="H23" s="210" t="s">
        <v>581</v>
      </c>
      <c r="I23" s="210"/>
      <c r="K23" s="192"/>
      <c r="M23" s="71" t="s">
        <v>1118</v>
      </c>
      <c r="N23" s="23">
        <f>N18</f>
        <v>2</v>
      </c>
      <c r="O23" s="86" t="s">
        <v>458</v>
      </c>
      <c r="S23" s="192"/>
      <c r="T23" s="38"/>
      <c r="U23" s="24"/>
    </row>
    <row r="24" spans="1:21" ht="15.95" customHeight="1" x14ac:dyDescent="0.15">
      <c r="A24" s="192"/>
      <c r="B24" s="236" t="s">
        <v>582</v>
      </c>
      <c r="C24" s="237" t="s">
        <v>580</v>
      </c>
      <c r="D24" s="657">
        <f>N20/2</f>
        <v>30</v>
      </c>
      <c r="G24" s="210"/>
      <c r="H24" s="210"/>
      <c r="I24" s="210"/>
      <c r="K24" s="192"/>
      <c r="M24" s="71" t="s">
        <v>1121</v>
      </c>
      <c r="N24" s="23">
        <f>(N21*N20^3-N29*N28^3)/12</f>
        <v>731605.33333333337</v>
      </c>
      <c r="O24" s="86" t="s">
        <v>1122</v>
      </c>
      <c r="S24" s="192"/>
      <c r="T24" s="80"/>
      <c r="U24" s="24"/>
    </row>
    <row r="25" spans="1:21" ht="15.95" customHeight="1" x14ac:dyDescent="0.15">
      <c r="A25" s="192"/>
      <c r="B25" s="236" t="s">
        <v>551</v>
      </c>
      <c r="C25" s="237" t="s">
        <v>583</v>
      </c>
      <c r="D25" s="240">
        <f>D21/D24</f>
        <v>24386.844444444447</v>
      </c>
      <c r="G25" s="210"/>
      <c r="H25" s="210" t="s">
        <v>584</v>
      </c>
      <c r="I25" s="210"/>
      <c r="K25" s="192"/>
      <c r="M25" s="71" t="s">
        <v>1123</v>
      </c>
      <c r="N25" s="23">
        <f>(N20*N21^3-N28*N29^3)/12</f>
        <v>4862165.333333333</v>
      </c>
      <c r="O25" s="86" t="s">
        <v>1122</v>
      </c>
      <c r="S25" s="192"/>
      <c r="T25" s="80"/>
      <c r="U25" s="24"/>
    </row>
    <row r="26" spans="1:21" ht="15.95" customHeight="1" x14ac:dyDescent="0.15">
      <c r="A26" s="192"/>
      <c r="B26" s="236" t="s">
        <v>550</v>
      </c>
      <c r="C26" s="237" t="s">
        <v>583</v>
      </c>
      <c r="D26" s="240">
        <f>D22/D23</f>
        <v>48621.653333333328</v>
      </c>
      <c r="G26" s="210"/>
      <c r="H26" s="210"/>
      <c r="I26" s="210"/>
      <c r="K26" s="192"/>
      <c r="M26" s="71" t="s">
        <v>1124</v>
      </c>
      <c r="N26" s="23">
        <f>N24/(N20/2)</f>
        <v>24386.844444444447</v>
      </c>
      <c r="O26" s="86" t="s">
        <v>1125</v>
      </c>
      <c r="S26" s="192"/>
      <c r="T26" s="80"/>
      <c r="U26" s="24"/>
    </row>
    <row r="27" spans="1:21" ht="15.95" customHeight="1" x14ac:dyDescent="0.15">
      <c r="A27" s="192"/>
      <c r="B27" s="192"/>
      <c r="C27" s="241"/>
      <c r="D27" s="192"/>
      <c r="E27" s="192"/>
      <c r="F27" s="192"/>
      <c r="K27" s="192"/>
      <c r="M27" s="71" t="s">
        <v>1126</v>
      </c>
      <c r="N27" s="23">
        <f>N25/(N21/2)</f>
        <v>48621.653333333328</v>
      </c>
      <c r="O27" s="86" t="s">
        <v>1125</v>
      </c>
      <c r="S27" s="201"/>
    </row>
    <row r="28" spans="1:21" ht="15.95" customHeight="1" x14ac:dyDescent="0.15">
      <c r="A28" s="192"/>
      <c r="F28" s="192"/>
      <c r="J28" s="242"/>
      <c r="K28" s="192"/>
      <c r="M28" s="71" t="s">
        <v>1128</v>
      </c>
      <c r="N28" s="23">
        <f>N20-2*N22</f>
        <v>56</v>
      </c>
      <c r="O28" s="86" t="s">
        <v>458</v>
      </c>
      <c r="S28" s="201"/>
    </row>
    <row r="29" spans="1:21" s="193" customFormat="1" ht="15.95" customHeight="1" thickBot="1" x14ac:dyDescent="0.2">
      <c r="A29" s="192"/>
      <c r="B29" s="713" t="s">
        <v>585</v>
      </c>
      <c r="C29" s="714"/>
      <c r="D29" s="235" t="s">
        <v>586</v>
      </c>
      <c r="E29" s="243" t="s">
        <v>587</v>
      </c>
      <c r="F29" s="717" t="s">
        <v>588</v>
      </c>
      <c r="G29" s="718"/>
      <c r="J29" s="192"/>
      <c r="K29" s="192"/>
      <c r="M29" s="87" t="s">
        <v>1127</v>
      </c>
      <c r="N29" s="152">
        <f>N21-2*N23</f>
        <v>196</v>
      </c>
      <c r="O29" s="88" t="s">
        <v>458</v>
      </c>
    </row>
    <row r="30" spans="1:21" s="193" customFormat="1" ht="15.95" customHeight="1" x14ac:dyDescent="0.15">
      <c r="A30" s="192"/>
      <c r="B30" s="728" t="s">
        <v>589</v>
      </c>
      <c r="C30" s="244" t="s">
        <v>590</v>
      </c>
      <c r="D30" s="245">
        <f>D145</f>
        <v>3.1145571370162686</v>
      </c>
      <c r="E30" s="246">
        <f>D152</f>
        <v>181.5</v>
      </c>
      <c r="F30" s="247">
        <f>D30/E30</f>
        <v>1.7160094418822415E-2</v>
      </c>
      <c r="G30" s="248" t="str">
        <f>IF(D30&lt;E30,"O.K.","N.G.")</f>
        <v>O.K.</v>
      </c>
      <c r="J30" s="192"/>
      <c r="K30" s="192"/>
    </row>
    <row r="31" spans="1:21" s="193" customFormat="1" ht="15.95" customHeight="1" x14ac:dyDescent="0.15">
      <c r="A31" s="192"/>
      <c r="B31" s="729"/>
      <c r="C31" s="244" t="s">
        <v>547</v>
      </c>
      <c r="D31" s="245">
        <f>D163</f>
        <v>0</v>
      </c>
      <c r="E31" s="246">
        <f>D170</f>
        <v>181.5</v>
      </c>
      <c r="F31" s="247">
        <f>D31/E31</f>
        <v>0</v>
      </c>
      <c r="G31" s="248" t="str">
        <f>IF(D31&lt;E31,"O.K.","N.G.")</f>
        <v>O.K.</v>
      </c>
      <c r="J31" s="192"/>
      <c r="K31" s="192"/>
      <c r="L31" s="192"/>
    </row>
    <row r="32" spans="1:21" s="193" customFormat="1" ht="15.95" customHeight="1" x14ac:dyDescent="0.15">
      <c r="A32" s="192"/>
      <c r="B32" s="730"/>
      <c r="C32" s="244" t="s">
        <v>591</v>
      </c>
      <c r="D32" s="731" t="s">
        <v>592</v>
      </c>
      <c r="E32" s="732"/>
      <c r="F32" s="247">
        <f>F30+F31</f>
        <v>1.7160094418822415E-2</v>
      </c>
      <c r="G32" s="248" t="str">
        <f>IF(F32&lt;1,"O.K.","N.G.")</f>
        <v>O.K.</v>
      </c>
      <c r="J32" s="192"/>
      <c r="K32" s="192"/>
      <c r="M32" s="741" t="s">
        <v>593</v>
      </c>
      <c r="N32" s="741"/>
      <c r="O32" s="201"/>
    </row>
    <row r="33" spans="1:16" s="193" customFormat="1" ht="15.95" customHeight="1" x14ac:dyDescent="0.2">
      <c r="A33" s="192"/>
      <c r="B33" s="249" t="s">
        <v>594</v>
      </c>
      <c r="C33" s="244" t="s">
        <v>590</v>
      </c>
      <c r="D33" s="250">
        <f>D14</f>
        <v>0.12407364563684169</v>
      </c>
      <c r="E33" s="578">
        <f>VLOOKUP(H20,M33:N34,2,0)</f>
        <v>3</v>
      </c>
      <c r="F33" s="247">
        <f>D33/E33</f>
        <v>4.1357881878947227E-2</v>
      </c>
      <c r="G33" s="248" t="str">
        <f>IF(D33&lt;E33,"O.K.","N.G.")</f>
        <v>O.K.</v>
      </c>
      <c r="J33" s="192"/>
      <c r="K33" s="192"/>
      <c r="M33" s="251" t="s">
        <v>595</v>
      </c>
      <c r="N33" s="571">
        <v>1.5</v>
      </c>
      <c r="O33" s="201"/>
      <c r="P33" s="201"/>
    </row>
    <row r="34" spans="1:16" s="201" customFormat="1" ht="15.95" customHeight="1" x14ac:dyDescent="0.15">
      <c r="A34" s="192"/>
      <c r="B34" s="252" t="s">
        <v>580</v>
      </c>
      <c r="C34" s="244" t="s">
        <v>547</v>
      </c>
      <c r="D34" s="250">
        <f>D15</f>
        <v>0</v>
      </c>
      <c r="E34" s="253">
        <f>D213</f>
        <v>8.5714285714285712</v>
      </c>
      <c r="F34" s="247">
        <f>D34/E34</f>
        <v>0</v>
      </c>
      <c r="G34" s="248" t="str">
        <f>IF(D34&lt;E34,"O.K.","N.G.")</f>
        <v>O.K.</v>
      </c>
      <c r="J34" s="192"/>
      <c r="K34" s="192"/>
      <c r="M34" s="251" t="s">
        <v>596</v>
      </c>
      <c r="N34" s="571">
        <v>3</v>
      </c>
      <c r="O34" s="204" t="s">
        <v>597</v>
      </c>
    </row>
    <row r="35" spans="1:16" s="201" customFormat="1" ht="15.95" customHeight="1" x14ac:dyDescent="0.15">
      <c r="A35" s="192"/>
      <c r="B35" s="192"/>
      <c r="C35" s="192"/>
      <c r="D35" s="192"/>
      <c r="E35" s="192"/>
      <c r="F35" s="192"/>
      <c r="G35" s="192"/>
      <c r="H35" s="192"/>
      <c r="I35" s="192"/>
      <c r="J35" s="192"/>
      <c r="K35" s="192"/>
      <c r="L35" s="192"/>
      <c r="M35" s="205"/>
    </row>
    <row r="36" spans="1:16" s="201" customFormat="1" ht="15.95" customHeight="1" x14ac:dyDescent="0.15">
      <c r="A36" s="192"/>
      <c r="B36" s="192"/>
      <c r="C36" s="192"/>
      <c r="D36" s="192"/>
      <c r="E36" s="192"/>
      <c r="F36" s="192"/>
      <c r="G36" s="192"/>
      <c r="H36" s="192"/>
      <c r="I36" s="192"/>
      <c r="J36" s="192"/>
      <c r="K36" s="192"/>
      <c r="L36" s="192"/>
      <c r="M36" s="205"/>
    </row>
    <row r="37" spans="1:16" s="201" customFormat="1" ht="15.95" customHeight="1" x14ac:dyDescent="0.15">
      <c r="A37" s="192"/>
      <c r="B37" s="192"/>
      <c r="C37" s="192"/>
      <c r="D37" s="192"/>
      <c r="E37" s="192"/>
      <c r="F37" s="192"/>
      <c r="G37" s="192"/>
      <c r="H37" s="192"/>
      <c r="I37" s="192"/>
      <c r="J37" s="192"/>
      <c r="K37" s="192"/>
      <c r="L37" s="192"/>
      <c r="M37" s="205"/>
    </row>
    <row r="38" spans="1:16" s="201" customFormat="1" ht="15.95" customHeight="1" x14ac:dyDescent="0.15">
      <c r="A38" s="192"/>
      <c r="B38" s="192"/>
      <c r="C38" s="192"/>
      <c r="D38" s="192"/>
      <c r="E38" s="192"/>
      <c r="F38" s="192"/>
      <c r="G38" s="192"/>
      <c r="H38" s="192"/>
      <c r="I38" s="192"/>
      <c r="J38" s="192"/>
      <c r="K38" s="192"/>
      <c r="L38" s="192"/>
      <c r="M38" s="205"/>
    </row>
    <row r="39" spans="1:16" s="201" customFormat="1" ht="15.95" customHeight="1" x14ac:dyDescent="0.15">
      <c r="A39" s="192"/>
      <c r="B39" s="192"/>
      <c r="C39" s="192"/>
      <c r="D39" s="192"/>
      <c r="E39" s="192"/>
      <c r="F39" s="192"/>
      <c r="G39" s="192"/>
      <c r="H39" s="192"/>
      <c r="I39" s="192"/>
      <c r="J39" s="192"/>
      <c r="K39" s="192"/>
      <c r="L39" s="192"/>
      <c r="M39" s="205"/>
    </row>
    <row r="40" spans="1:16" s="201" customFormat="1" ht="15.95" customHeight="1" x14ac:dyDescent="0.15">
      <c r="A40" s="192"/>
      <c r="B40" s="192"/>
      <c r="C40" s="192"/>
      <c r="D40" s="192"/>
      <c r="E40" s="192"/>
      <c r="F40" s="192"/>
      <c r="G40" s="192"/>
      <c r="H40" s="192"/>
      <c r="I40" s="192"/>
      <c r="J40" s="192"/>
      <c r="K40" s="192"/>
      <c r="L40" s="192"/>
      <c r="M40" s="205"/>
    </row>
    <row r="41" spans="1:16" s="201" customFormat="1" ht="15.95" customHeight="1" x14ac:dyDescent="0.15">
      <c r="A41" s="192"/>
      <c r="B41" s="192"/>
      <c r="C41" s="192"/>
      <c r="D41" s="192"/>
      <c r="E41" s="192"/>
      <c r="F41" s="192"/>
      <c r="G41" s="192"/>
      <c r="H41" s="192"/>
      <c r="I41" s="192"/>
      <c r="J41" s="192"/>
      <c r="K41" s="192"/>
      <c r="L41" s="192"/>
      <c r="M41" s="205"/>
    </row>
    <row r="42" spans="1:16" s="201" customFormat="1" ht="15.95" customHeight="1" x14ac:dyDescent="0.15">
      <c r="A42" s="192"/>
      <c r="B42" s="192"/>
      <c r="C42" s="192"/>
      <c r="D42" s="192"/>
      <c r="E42" s="192"/>
      <c r="F42" s="192"/>
      <c r="G42" s="192"/>
      <c r="H42" s="192"/>
      <c r="I42" s="192"/>
      <c r="J42" s="192"/>
      <c r="K42" s="192"/>
      <c r="L42" s="192"/>
      <c r="M42" s="205"/>
    </row>
    <row r="43" spans="1:16" s="201" customFormat="1" ht="15.95" customHeight="1" x14ac:dyDescent="0.15">
      <c r="A43" s="192"/>
      <c r="B43" s="192"/>
      <c r="C43" s="192"/>
      <c r="D43" s="192"/>
      <c r="E43" s="192"/>
      <c r="F43" s="192"/>
      <c r="G43" s="192"/>
      <c r="H43" s="192"/>
      <c r="I43" s="192"/>
      <c r="J43" s="192"/>
      <c r="K43" s="192"/>
      <c r="L43" s="192"/>
      <c r="M43" s="205"/>
    </row>
    <row r="44" spans="1:16" s="201" customFormat="1" ht="15.95" customHeight="1" x14ac:dyDescent="0.15">
      <c r="A44" s="192"/>
      <c r="B44" s="192"/>
      <c r="C44" s="192"/>
      <c r="D44" s="192"/>
      <c r="E44" s="192"/>
      <c r="F44" s="192"/>
      <c r="G44" s="192"/>
      <c r="H44" s="192"/>
      <c r="I44" s="192"/>
      <c r="J44" s="192"/>
      <c r="K44" s="192"/>
      <c r="L44" s="192"/>
      <c r="M44" s="205"/>
    </row>
    <row r="45" spans="1:16" s="201" customFormat="1" ht="15.95" customHeight="1" x14ac:dyDescent="0.15">
      <c r="A45" s="192"/>
      <c r="B45" s="192"/>
      <c r="C45" s="192"/>
      <c r="D45" s="192"/>
      <c r="E45" s="192"/>
      <c r="F45" s="192"/>
      <c r="G45" s="192"/>
      <c r="H45" s="192"/>
      <c r="I45" s="192"/>
      <c r="J45" s="192"/>
      <c r="K45" s="192"/>
      <c r="L45" s="192"/>
      <c r="M45" s="205"/>
    </row>
    <row r="46" spans="1:16" s="201" customFormat="1" ht="15.95" customHeight="1" x14ac:dyDescent="0.15">
      <c r="A46" s="708" t="s">
        <v>1000</v>
      </c>
      <c r="B46" s="708"/>
      <c r="C46" s="708"/>
      <c r="D46" s="708"/>
      <c r="E46" s="708"/>
      <c r="F46" s="708"/>
      <c r="G46" s="708"/>
      <c r="H46" s="708"/>
      <c r="I46" s="708"/>
      <c r="J46" s="708"/>
      <c r="K46" s="708"/>
      <c r="L46" s="192"/>
      <c r="M46" s="205"/>
    </row>
    <row r="47" spans="1:16" s="201" customFormat="1" ht="15.95" hidden="1" customHeight="1" x14ac:dyDescent="0.15">
      <c r="B47" s="12" t="s">
        <v>598</v>
      </c>
    </row>
    <row r="48" spans="1:16" s="201" customFormat="1" ht="15.95" hidden="1" customHeight="1" x14ac:dyDescent="0.15"/>
    <row r="49" spans="1:18" s="201" customFormat="1" ht="15.95" hidden="1" customHeight="1" x14ac:dyDescent="0.15">
      <c r="B49" s="201" t="s">
        <v>599</v>
      </c>
    </row>
    <row r="50" spans="1:18" s="201" customFormat="1" ht="15.95" hidden="1" customHeight="1" x14ac:dyDescent="0.15">
      <c r="L50" s="445"/>
      <c r="M50" s="458"/>
    </row>
    <row r="51" spans="1:18" s="201" customFormat="1" ht="15.95" hidden="1" customHeight="1" x14ac:dyDescent="0.15">
      <c r="B51" s="445" t="s">
        <v>600</v>
      </c>
      <c r="C51" s="458" t="s">
        <v>601</v>
      </c>
    </row>
    <row r="52" spans="1:18" s="201" customFormat="1" ht="15.95" hidden="1" customHeight="1" x14ac:dyDescent="0.15">
      <c r="A52" s="212"/>
      <c r="B52" s="445" t="s">
        <v>602</v>
      </c>
      <c r="C52" s="458" t="s">
        <v>603</v>
      </c>
    </row>
    <row r="53" spans="1:18" s="201" customFormat="1" ht="15.95" hidden="1" customHeight="1" x14ac:dyDescent="0.15">
      <c r="A53" s="212"/>
    </row>
    <row r="54" spans="1:18" s="201" customFormat="1" ht="15.95" hidden="1" customHeight="1" x14ac:dyDescent="0.15">
      <c r="A54" s="212"/>
    </row>
    <row r="55" spans="1:18" s="201" customFormat="1" ht="15.95" hidden="1" customHeight="1" x14ac:dyDescent="0.15">
      <c r="A55" s="212"/>
    </row>
    <row r="56" spans="1:18" s="201" customFormat="1" ht="15.95" hidden="1" customHeight="1" x14ac:dyDescent="0.15">
      <c r="A56" s="212"/>
    </row>
    <row r="57" spans="1:18" s="201" customFormat="1" ht="15.95" hidden="1" customHeight="1" x14ac:dyDescent="0.15">
      <c r="A57" s="212"/>
    </row>
    <row r="58" spans="1:18" s="201" customFormat="1" ht="15.95" hidden="1" customHeight="1" x14ac:dyDescent="0.15">
      <c r="A58" s="212"/>
    </row>
    <row r="59" spans="1:18" s="201" customFormat="1" ht="15.95" hidden="1" customHeight="1" x14ac:dyDescent="0.15">
      <c r="A59" s="212"/>
    </row>
    <row r="60" spans="1:18" s="201" customFormat="1" ht="15.95" hidden="1" customHeight="1" x14ac:dyDescent="0.15">
      <c r="A60" s="212"/>
    </row>
    <row r="61" spans="1:18" s="201" customFormat="1" ht="15.95" hidden="1" customHeight="1" x14ac:dyDescent="0.15">
      <c r="A61" s="212"/>
      <c r="B61" s="742" t="s">
        <v>604</v>
      </c>
      <c r="C61" s="742"/>
      <c r="D61" s="742"/>
      <c r="E61" s="459"/>
      <c r="G61" s="742" t="s">
        <v>605</v>
      </c>
      <c r="H61" s="742"/>
    </row>
    <row r="62" spans="1:18" s="201" customFormat="1" ht="15.95" hidden="1" customHeight="1" x14ac:dyDescent="0.15"/>
    <row r="63" spans="1:18" s="201" customFormat="1" ht="15.95" hidden="1" customHeight="1" x14ac:dyDescent="0.15"/>
    <row r="64" spans="1:18" s="201" customFormat="1" ht="15.95" hidden="1" customHeight="1" x14ac:dyDescent="0.15">
      <c r="A64" s="212"/>
      <c r="B64" s="209" t="s">
        <v>606</v>
      </c>
      <c r="Q64" s="208" t="s">
        <v>607</v>
      </c>
      <c r="R64" s="254">
        <v>9.8066499999999994</v>
      </c>
    </row>
    <row r="65" spans="1:18" s="201" customFormat="1" ht="15.95" hidden="1" customHeight="1" x14ac:dyDescent="0.15">
      <c r="N65" s="208" t="s">
        <v>608</v>
      </c>
      <c r="O65" s="255">
        <f>Q65*$R$64/10^9</f>
        <v>2.4516625E-5</v>
      </c>
      <c r="P65" s="213" t="s">
        <v>736</v>
      </c>
      <c r="Q65" s="256">
        <v>2500</v>
      </c>
      <c r="R65" s="213" t="s">
        <v>737</v>
      </c>
    </row>
    <row r="66" spans="1:18" s="201" customFormat="1" ht="15.95" hidden="1" customHeight="1" x14ac:dyDescent="0.15">
      <c r="B66" s="454" t="s">
        <v>2</v>
      </c>
      <c r="C66" s="193" t="s">
        <v>4</v>
      </c>
      <c r="D66" s="227">
        <f>D9</f>
        <v>1500</v>
      </c>
      <c r="E66" s="201" t="s">
        <v>458</v>
      </c>
      <c r="G66" s="454" t="s">
        <v>7</v>
      </c>
      <c r="H66" s="193" t="s">
        <v>4</v>
      </c>
      <c r="I66" s="227">
        <f>(VLOOKUP(D7,N74:O79,2)*O65*D67*D66/2)</f>
        <v>143.42225625</v>
      </c>
      <c r="J66" s="212" t="s">
        <v>476</v>
      </c>
      <c r="N66" s="208" t="s">
        <v>609</v>
      </c>
      <c r="O66" s="255">
        <f>Q66*$R$64/10^9</f>
        <v>2.6477954999999996E-5</v>
      </c>
      <c r="P66" s="213" t="s">
        <v>736</v>
      </c>
      <c r="Q66" s="256">
        <v>2700</v>
      </c>
      <c r="R66" s="213" t="s">
        <v>737</v>
      </c>
    </row>
    <row r="67" spans="1:18" s="201" customFormat="1" ht="15.95" hidden="1" customHeight="1" x14ac:dyDescent="0.15">
      <c r="B67" s="454" t="s">
        <v>73</v>
      </c>
      <c r="C67" s="193" t="s">
        <v>4</v>
      </c>
      <c r="D67" s="227">
        <f>D10</f>
        <v>650</v>
      </c>
      <c r="E67" s="201" t="s">
        <v>458</v>
      </c>
      <c r="G67" s="213" t="s">
        <v>610</v>
      </c>
      <c r="N67" s="208" t="s">
        <v>611</v>
      </c>
      <c r="O67" s="255">
        <f>Q67*$R$64/10^9</f>
        <v>7.6982202499999993E-5</v>
      </c>
      <c r="P67" s="213" t="s">
        <v>736</v>
      </c>
      <c r="Q67" s="257">
        <v>7850</v>
      </c>
      <c r="R67" s="213" t="s">
        <v>737</v>
      </c>
    </row>
    <row r="68" spans="1:18" s="201" customFormat="1" ht="15.95" hidden="1" customHeight="1" x14ac:dyDescent="0.15">
      <c r="B68" s="454" t="s">
        <v>43</v>
      </c>
      <c r="C68" s="193" t="s">
        <v>4</v>
      </c>
      <c r="D68" s="227">
        <f>D66/D8</f>
        <v>375</v>
      </c>
      <c r="E68" s="201" t="s">
        <v>458</v>
      </c>
      <c r="G68" s="454" t="s">
        <v>612</v>
      </c>
      <c r="H68" s="193" t="s">
        <v>4</v>
      </c>
      <c r="I68" s="198">
        <f>O69</f>
        <v>118.24466303999999</v>
      </c>
      <c r="J68" s="192" t="s">
        <v>476</v>
      </c>
      <c r="N68" s="208" t="s">
        <v>613</v>
      </c>
      <c r="O68" s="220">
        <f>D20</f>
        <v>1024</v>
      </c>
      <c r="P68" s="201" t="s">
        <v>747</v>
      </c>
    </row>
    <row r="69" spans="1:18" s="201" customFormat="1" ht="15.95" hidden="1" customHeight="1" x14ac:dyDescent="0.15">
      <c r="B69" s="454" t="s">
        <v>656</v>
      </c>
      <c r="C69" s="193" t="s">
        <v>4</v>
      </c>
      <c r="D69" s="227">
        <f>D6</f>
        <v>210000</v>
      </c>
      <c r="E69" s="210" t="s">
        <v>457</v>
      </c>
      <c r="G69" s="213" t="s">
        <v>614</v>
      </c>
      <c r="N69" s="208" t="s">
        <v>615</v>
      </c>
      <c r="O69" s="220">
        <f>O67*O68*D66</f>
        <v>118.24466303999999</v>
      </c>
      <c r="P69" s="212" t="s">
        <v>476</v>
      </c>
    </row>
    <row r="70" spans="1:18" s="201" customFormat="1" ht="15.95" hidden="1" customHeight="1" x14ac:dyDescent="0.15">
      <c r="B70" s="454" t="s">
        <v>686</v>
      </c>
      <c r="C70" s="193" t="s">
        <v>4</v>
      </c>
      <c r="D70" s="227">
        <f>D21</f>
        <v>731605.33333333337</v>
      </c>
      <c r="E70" s="201" t="s">
        <v>750</v>
      </c>
      <c r="G70" s="454" t="s">
        <v>11</v>
      </c>
      <c r="H70" s="193" t="s">
        <v>4</v>
      </c>
      <c r="I70" s="454" t="s">
        <v>616</v>
      </c>
      <c r="O70" s="208"/>
      <c r="P70" s="191"/>
    </row>
    <row r="71" spans="1:18" s="201" customFormat="1" ht="15.95" hidden="1" customHeight="1" x14ac:dyDescent="0.15">
      <c r="G71" s="454"/>
      <c r="H71" s="193" t="s">
        <v>4</v>
      </c>
      <c r="I71" s="258">
        <f>I68/D66</f>
        <v>7.8829775359999993E-2</v>
      </c>
      <c r="J71" s="192" t="s">
        <v>753</v>
      </c>
      <c r="O71" s="208"/>
      <c r="P71" s="191"/>
      <c r="Q71" s="212"/>
    </row>
    <row r="72" spans="1:18" s="201" customFormat="1" ht="15.95" hidden="1" customHeight="1" x14ac:dyDescent="0.15"/>
    <row r="73" spans="1:18" s="201" customFormat="1" ht="15.95" hidden="1" customHeight="1" x14ac:dyDescent="0.15">
      <c r="N73" s="208" t="s">
        <v>617</v>
      </c>
      <c r="O73" s="205" t="s">
        <v>618</v>
      </c>
      <c r="P73" s="201" t="s">
        <v>619</v>
      </c>
      <c r="Q73" s="213" t="s">
        <v>620</v>
      </c>
      <c r="R73" s="208" t="s">
        <v>621</v>
      </c>
    </row>
    <row r="74" spans="1:18" s="201" customFormat="1" ht="15.95" hidden="1" customHeight="1" x14ac:dyDescent="0.15">
      <c r="B74" s="209" t="s">
        <v>622</v>
      </c>
      <c r="N74" s="206">
        <v>12</v>
      </c>
      <c r="O74" s="259">
        <v>6</v>
      </c>
      <c r="P74" s="206" t="s">
        <v>623</v>
      </c>
      <c r="Q74" s="220">
        <f>R74*$R$64</f>
        <v>147.09975</v>
      </c>
      <c r="R74" s="220">
        <f>$Q$65*(O74/10^3)</f>
        <v>15</v>
      </c>
    </row>
    <row r="75" spans="1:18" s="201" customFormat="1" ht="15.95" hidden="1" customHeight="1" x14ac:dyDescent="0.15">
      <c r="A75" s="212"/>
      <c r="N75" s="206">
        <v>16</v>
      </c>
      <c r="O75" s="259">
        <v>10</v>
      </c>
      <c r="P75" s="206" t="s">
        <v>624</v>
      </c>
      <c r="Q75" s="220">
        <f t="shared" ref="Q75:Q79" si="0">R75*$R$64</f>
        <v>245.16624999999999</v>
      </c>
      <c r="R75" s="220">
        <f t="shared" ref="R75:R79" si="1">$Q$65*(O75/10^3)</f>
        <v>25</v>
      </c>
    </row>
    <row r="76" spans="1:18" s="201" customFormat="1" ht="15.95" hidden="1" customHeight="1" x14ac:dyDescent="0.15">
      <c r="B76" s="454" t="s">
        <v>761</v>
      </c>
      <c r="C76" s="193" t="s">
        <v>4</v>
      </c>
      <c r="D76" s="454" t="s">
        <v>762</v>
      </c>
      <c r="E76" s="193"/>
      <c r="G76" s="454" t="s">
        <v>763</v>
      </c>
      <c r="H76" s="193" t="s">
        <v>4</v>
      </c>
      <c r="I76" s="454" t="s">
        <v>764</v>
      </c>
      <c r="J76" s="193"/>
      <c r="N76" s="206">
        <v>18</v>
      </c>
      <c r="O76" s="259">
        <v>12</v>
      </c>
      <c r="P76" s="206" t="s">
        <v>1002</v>
      </c>
      <c r="Q76" s="220">
        <f t="shared" si="0"/>
        <v>294.1995</v>
      </c>
      <c r="R76" s="220">
        <f t="shared" si="1"/>
        <v>30</v>
      </c>
    </row>
    <row r="77" spans="1:18" s="201" customFormat="1" ht="15.95" hidden="1" customHeight="1" x14ac:dyDescent="0.15">
      <c r="B77" s="454"/>
      <c r="C77" s="193" t="s">
        <v>4</v>
      </c>
      <c r="D77" s="454" t="s">
        <v>7</v>
      </c>
      <c r="E77" s="193"/>
      <c r="F77" s="454"/>
      <c r="G77" s="454"/>
      <c r="H77" s="193" t="s">
        <v>4</v>
      </c>
      <c r="I77" s="454" t="s">
        <v>766</v>
      </c>
      <c r="J77" s="193"/>
      <c r="N77" s="206">
        <v>22</v>
      </c>
      <c r="O77" s="259">
        <v>10</v>
      </c>
      <c r="P77" s="206" t="s">
        <v>625</v>
      </c>
      <c r="Q77" s="220">
        <f t="shared" si="0"/>
        <v>245.16624999999999</v>
      </c>
      <c r="R77" s="220">
        <f t="shared" si="1"/>
        <v>25</v>
      </c>
    </row>
    <row r="78" spans="1:18" s="201" customFormat="1" ht="15.95" hidden="1" customHeight="1" x14ac:dyDescent="0.15">
      <c r="B78" s="454"/>
      <c r="C78" s="193" t="s">
        <v>4</v>
      </c>
      <c r="D78" s="227">
        <f>I66</f>
        <v>143.42225625</v>
      </c>
      <c r="E78" s="201" t="s">
        <v>476</v>
      </c>
      <c r="F78" s="454"/>
      <c r="G78" s="454"/>
      <c r="H78" s="193" t="s">
        <v>4</v>
      </c>
      <c r="I78" s="198">
        <f>(I71*D66)/2</f>
        <v>59.122331519999996</v>
      </c>
      <c r="J78" s="201" t="s">
        <v>476</v>
      </c>
      <c r="N78" s="206">
        <v>24</v>
      </c>
      <c r="O78" s="259">
        <v>12</v>
      </c>
      <c r="P78" s="206" t="s">
        <v>626</v>
      </c>
      <c r="Q78" s="220">
        <f t="shared" si="0"/>
        <v>294.1995</v>
      </c>
      <c r="R78" s="220">
        <f t="shared" si="1"/>
        <v>30</v>
      </c>
    </row>
    <row r="79" spans="1:18" s="201" customFormat="1" ht="15.95" hidden="1" customHeight="1" x14ac:dyDescent="0.15">
      <c r="B79" s="454"/>
      <c r="C79" s="193"/>
      <c r="D79" s="191"/>
      <c r="F79" s="454"/>
      <c r="G79" s="454"/>
      <c r="H79" s="193"/>
      <c r="I79" s="200"/>
      <c r="N79" s="206">
        <v>28</v>
      </c>
      <c r="O79" s="259">
        <v>16</v>
      </c>
      <c r="P79" s="206" t="s">
        <v>627</v>
      </c>
      <c r="Q79" s="220">
        <f t="shared" si="0"/>
        <v>392.26599999999996</v>
      </c>
      <c r="R79" s="220">
        <f t="shared" si="1"/>
        <v>40</v>
      </c>
    </row>
    <row r="80" spans="1:18" s="201" customFormat="1" ht="15.95" hidden="1" customHeight="1" x14ac:dyDescent="0.15">
      <c r="B80" s="454" t="s">
        <v>770</v>
      </c>
      <c r="C80" s="193" t="s">
        <v>4</v>
      </c>
      <c r="D80" s="454" t="s">
        <v>771</v>
      </c>
      <c r="E80" s="193"/>
      <c r="G80" s="454" t="s">
        <v>772</v>
      </c>
      <c r="H80" s="193" t="s">
        <v>4</v>
      </c>
      <c r="I80" s="454" t="s">
        <v>773</v>
      </c>
      <c r="J80" s="193"/>
      <c r="L80" s="260"/>
      <c r="M80" s="212"/>
      <c r="N80" s="260"/>
      <c r="O80" s="213"/>
    </row>
    <row r="81" spans="2:15" s="201" customFormat="1" ht="15.95" hidden="1" customHeight="1" x14ac:dyDescent="0.15">
      <c r="B81" s="454"/>
      <c r="C81" s="193" t="s">
        <v>4</v>
      </c>
      <c r="D81" s="227">
        <f>I66*D68</f>
        <v>53783.346093749999</v>
      </c>
      <c r="E81" s="212" t="s">
        <v>498</v>
      </c>
      <c r="G81" s="454"/>
      <c r="H81" s="193" t="s">
        <v>4</v>
      </c>
      <c r="I81" s="227">
        <f>(I71*D66^2)/8</f>
        <v>22170.874319999999</v>
      </c>
      <c r="J81" s="212" t="s">
        <v>498</v>
      </c>
      <c r="L81" s="260"/>
      <c r="M81" s="212"/>
      <c r="N81" s="260"/>
      <c r="O81" s="213"/>
    </row>
    <row r="82" spans="2:15" s="201" customFormat="1" ht="15.95" hidden="1" customHeight="1" x14ac:dyDescent="0.15">
      <c r="B82" s="454"/>
      <c r="C82" s="193"/>
      <c r="D82" s="220"/>
      <c r="E82" s="212"/>
      <c r="G82" s="454"/>
      <c r="H82" s="193"/>
      <c r="I82" s="454"/>
      <c r="J82" s="193"/>
      <c r="L82" s="260"/>
      <c r="M82" s="212"/>
      <c r="N82" s="260"/>
      <c r="O82" s="213"/>
    </row>
    <row r="83" spans="2:15" s="201" customFormat="1" ht="15.95" hidden="1" customHeight="1" x14ac:dyDescent="0.15">
      <c r="B83" s="454" t="s">
        <v>671</v>
      </c>
      <c r="C83" s="193" t="s">
        <v>4</v>
      </c>
      <c r="D83" s="459" t="s">
        <v>775</v>
      </c>
      <c r="G83" s="454"/>
      <c r="H83" s="193"/>
      <c r="I83" s="454"/>
      <c r="J83" s="193"/>
      <c r="L83" s="12"/>
      <c r="M83" s="184"/>
      <c r="N83" s="43"/>
      <c r="O83" s="213"/>
    </row>
    <row r="84" spans="2:15" s="201" customFormat="1" ht="15.95" hidden="1" customHeight="1" x14ac:dyDescent="0.15">
      <c r="C84" s="193" t="s">
        <v>4</v>
      </c>
      <c r="D84" s="261">
        <f>(D81+I81)</f>
        <v>75954.220413749994</v>
      </c>
      <c r="E84" s="212" t="s">
        <v>882</v>
      </c>
      <c r="G84" s="454"/>
      <c r="H84" s="193"/>
      <c r="I84" s="454"/>
      <c r="J84" s="193"/>
      <c r="L84" s="12"/>
      <c r="M84" s="460"/>
      <c r="N84" s="12"/>
      <c r="O84" s="213"/>
    </row>
    <row r="85" spans="2:15" s="201" customFormat="1" ht="15.95" hidden="1" customHeight="1" x14ac:dyDescent="0.15">
      <c r="B85" s="454"/>
      <c r="C85" s="193"/>
      <c r="D85" s="220"/>
      <c r="E85" s="212"/>
      <c r="G85" s="454"/>
      <c r="H85" s="193"/>
      <c r="I85" s="454"/>
      <c r="J85" s="193"/>
      <c r="L85" s="260"/>
      <c r="M85" s="212"/>
      <c r="N85" s="260"/>
      <c r="O85" s="213"/>
    </row>
    <row r="86" spans="2:15" s="201" customFormat="1" ht="15.95" hidden="1" customHeight="1" x14ac:dyDescent="0.15">
      <c r="B86" s="454" t="s">
        <v>776</v>
      </c>
      <c r="C86" s="193" t="s">
        <v>4</v>
      </c>
      <c r="D86" s="454" t="s">
        <v>777</v>
      </c>
      <c r="F86" s="213"/>
      <c r="G86" s="454" t="s">
        <v>778</v>
      </c>
      <c r="H86" s="193" t="s">
        <v>4</v>
      </c>
      <c r="I86" s="454" t="s">
        <v>779</v>
      </c>
      <c r="L86" s="260"/>
      <c r="O86" s="212"/>
    </row>
    <row r="87" spans="2:15" s="201" customFormat="1" ht="15.95" hidden="1" customHeight="1" x14ac:dyDescent="0.15">
      <c r="C87" s="193" t="s">
        <v>4</v>
      </c>
      <c r="D87" s="191">
        <f>D81*(3*D66^2-4*D68^2)/(24*D69*D70)</f>
        <v>9.0251749803660228E-2</v>
      </c>
      <c r="E87" s="212" t="s">
        <v>458</v>
      </c>
      <c r="H87" s="193" t="s">
        <v>4</v>
      </c>
      <c r="I87" s="191">
        <f>(5*I71*D66^4)/(384*D69*D70)</f>
        <v>3.3821895833181459E-2</v>
      </c>
      <c r="J87" s="212" t="s">
        <v>458</v>
      </c>
      <c r="L87" s="208"/>
      <c r="O87" s="213"/>
    </row>
    <row r="88" spans="2:15" s="201" customFormat="1" ht="15.95" hidden="1" customHeight="1" x14ac:dyDescent="0.15">
      <c r="D88" s="225"/>
      <c r="E88" s="208"/>
      <c r="F88" s="213"/>
      <c r="J88" s="262"/>
      <c r="K88" s="208"/>
    </row>
    <row r="89" spans="2:15" s="201" customFormat="1" ht="15.95" hidden="1" customHeight="1" x14ac:dyDescent="0.15">
      <c r="B89" s="454" t="s">
        <v>675</v>
      </c>
      <c r="C89" s="193" t="s">
        <v>4</v>
      </c>
      <c r="D89" s="454" t="s">
        <v>780</v>
      </c>
      <c r="L89" s="12"/>
      <c r="M89" s="461"/>
      <c r="N89" s="43"/>
    </row>
    <row r="90" spans="2:15" s="201" customFormat="1" ht="15.95" hidden="1" customHeight="1" x14ac:dyDescent="0.15">
      <c r="C90" s="193" t="s">
        <v>4</v>
      </c>
      <c r="D90" s="263">
        <f>D87+I87</f>
        <v>0.12407364563684169</v>
      </c>
      <c r="E90" s="212" t="s">
        <v>458</v>
      </c>
      <c r="L90" s="12"/>
      <c r="M90" s="460"/>
      <c r="N90" s="12"/>
    </row>
    <row r="91" spans="2:15" s="201" customFormat="1" ht="15.95" hidden="1" customHeight="1" x14ac:dyDescent="0.15">
      <c r="C91" s="193"/>
    </row>
    <row r="92" spans="2:15" s="201" customFormat="1" ht="15.95" hidden="1" customHeight="1" x14ac:dyDescent="0.15">
      <c r="C92" s="193"/>
    </row>
    <row r="93" spans="2:15" s="201" customFormat="1" ht="15.95" hidden="1" customHeight="1" x14ac:dyDescent="0.15">
      <c r="B93" s="201" t="s">
        <v>628</v>
      </c>
    </row>
    <row r="94" spans="2:15" s="201" customFormat="1" ht="15.95" hidden="1" customHeight="1" x14ac:dyDescent="0.15">
      <c r="B94" s="445"/>
    </row>
    <row r="95" spans="2:15" s="201" customFormat="1" ht="15.95" hidden="1" customHeight="1" x14ac:dyDescent="0.15">
      <c r="B95" s="458" t="str">
        <f>IF(D103 &lt;&gt; 0, L102, "")</f>
        <v>( UPPER )</v>
      </c>
      <c r="C95" s="458" t="str">
        <f>IF(M102=1, L104,L105)</f>
        <v>·  Simpley Supported Beam W/ Uniformly Distributed Load, Decreasing @ Both Eeds</v>
      </c>
    </row>
    <row r="96" spans="2:15" s="201" customFormat="1" ht="15.95" hidden="1" customHeight="1" x14ac:dyDescent="0.15">
      <c r="B96" s="458" t="str">
        <f>IF(D104&lt;&gt;0, L103, "")</f>
        <v xml:space="preserve">( BOTTOM ) </v>
      </c>
      <c r="C96" s="458" t="str">
        <f>IF(D104=0, "", IF(M103=1, L104, L105))</f>
        <v>·  Simpley Supported Beam W/ Distributed Load Increasing Toward Center</v>
      </c>
    </row>
    <row r="97" spans="2:18" s="201" customFormat="1" ht="15.95" hidden="1" customHeight="1" x14ac:dyDescent="0.15"/>
    <row r="98" spans="2:18" s="201" customFormat="1" ht="15.95" hidden="1" customHeight="1" x14ac:dyDescent="0.15">
      <c r="B98" s="209" t="s">
        <v>606</v>
      </c>
      <c r="N98" s="264" t="s">
        <v>629</v>
      </c>
      <c r="O98" s="251" t="e">
        <f>HLOOKUP(P98,V232:Y233,2,FALSE)</f>
        <v>#N/A</v>
      </c>
      <c r="P98" s="195">
        <f>VLOOKUP("TRUE", O99:P102, 2, FALSE)</f>
        <v>2</v>
      </c>
    </row>
    <row r="99" spans="2:18" s="201" customFormat="1" ht="15.95" hidden="1" customHeight="1" x14ac:dyDescent="0.15">
      <c r="G99" s="725"/>
      <c r="H99" s="725"/>
      <c r="I99" s="725"/>
      <c r="O99" s="266" t="b">
        <f>IF(AND(D102&lt;=D103, D102 &gt; D104),"TRUE", FALSE)</f>
        <v>0</v>
      </c>
      <c r="P99" s="266">
        <v>1</v>
      </c>
    </row>
    <row r="100" spans="2:18" s="201" customFormat="1" ht="15.95" hidden="1" customHeight="1" x14ac:dyDescent="0.15">
      <c r="B100" s="454" t="s">
        <v>547</v>
      </c>
      <c r="C100" s="193" t="s">
        <v>4</v>
      </c>
      <c r="D100" s="215">
        <f>ABS(D5)</f>
        <v>0</v>
      </c>
      <c r="E100" s="192" t="s">
        <v>456</v>
      </c>
      <c r="G100" s="725"/>
      <c r="H100" s="725"/>
      <c r="I100" s="725"/>
      <c r="O100" s="267" t="str">
        <f>IF(AND(D102&gt;D103, D102&lt;=D104), "TRUE")</f>
        <v>TRUE</v>
      </c>
      <c r="P100" s="267">
        <v>2</v>
      </c>
    </row>
    <row r="101" spans="2:18" s="201" customFormat="1" ht="15.95" hidden="1" customHeight="1" x14ac:dyDescent="0.15">
      <c r="B101" s="454"/>
      <c r="C101" s="193" t="s">
        <v>4</v>
      </c>
      <c r="D101" s="268">
        <f>D100/1000</f>
        <v>0</v>
      </c>
      <c r="E101" s="192" t="s">
        <v>645</v>
      </c>
      <c r="G101" s="725"/>
      <c r="H101" s="725"/>
      <c r="I101" s="725"/>
      <c r="O101" s="267" t="b">
        <f>IF(AND(D102&gt;D103, D102&gt;D104), "TRUE")</f>
        <v>0</v>
      </c>
      <c r="P101" s="267">
        <v>3</v>
      </c>
    </row>
    <row r="102" spans="2:18" s="201" customFormat="1" ht="15.95" hidden="1" customHeight="1" x14ac:dyDescent="0.15">
      <c r="B102" s="454" t="s">
        <v>2</v>
      </c>
      <c r="C102" s="193" t="s">
        <v>4</v>
      </c>
      <c r="D102" s="227">
        <f>D9</f>
        <v>1500</v>
      </c>
      <c r="E102" s="192" t="s">
        <v>468</v>
      </c>
      <c r="G102" s="725"/>
      <c r="H102" s="725"/>
      <c r="I102" s="725"/>
      <c r="L102" s="445" t="s">
        <v>630</v>
      </c>
      <c r="M102" s="205">
        <f>IF(D103&gt;=D102, 1, 2)</f>
        <v>2</v>
      </c>
      <c r="O102" s="267" t="b">
        <f>IF(AND(D102&lt;=D103, D102&lt;=D104), "TRUE")</f>
        <v>0</v>
      </c>
      <c r="P102" s="267">
        <v>4</v>
      </c>
    </row>
    <row r="103" spans="2:18" s="201" customFormat="1" ht="15.95" hidden="1" customHeight="1" x14ac:dyDescent="0.15">
      <c r="B103" s="454" t="s">
        <v>668</v>
      </c>
      <c r="C103" s="193" t="s">
        <v>4</v>
      </c>
      <c r="D103" s="227">
        <f>D10</f>
        <v>650</v>
      </c>
      <c r="E103" s="192" t="s">
        <v>468</v>
      </c>
      <c r="G103" s="725"/>
      <c r="H103" s="725"/>
      <c r="I103" s="725"/>
      <c r="L103" s="445" t="s">
        <v>631</v>
      </c>
      <c r="M103" s="205">
        <f>IF(D104&gt;=D102, 1, 2)</f>
        <v>1</v>
      </c>
    </row>
    <row r="104" spans="2:18" s="201" customFormat="1" ht="15.95" hidden="1" customHeight="1" x14ac:dyDescent="0.15">
      <c r="B104" s="454" t="s">
        <v>670</v>
      </c>
      <c r="C104" s="193" t="s">
        <v>4</v>
      </c>
      <c r="D104" s="227">
        <f>D11</f>
        <v>1700</v>
      </c>
      <c r="E104" s="192" t="s">
        <v>468</v>
      </c>
      <c r="G104" s="725"/>
      <c r="H104" s="725"/>
      <c r="I104" s="725"/>
      <c r="L104" s="445" t="s">
        <v>632</v>
      </c>
    </row>
    <row r="105" spans="2:18" s="201" customFormat="1" ht="15.95" hidden="1" customHeight="1" x14ac:dyDescent="0.15">
      <c r="B105" s="454" t="s">
        <v>656</v>
      </c>
      <c r="C105" s="193" t="s">
        <v>4</v>
      </c>
      <c r="D105" s="227">
        <f>D6</f>
        <v>210000</v>
      </c>
      <c r="E105" s="192" t="s">
        <v>457</v>
      </c>
      <c r="G105" s="725"/>
      <c r="H105" s="725"/>
      <c r="I105" s="725"/>
      <c r="L105" s="445" t="s">
        <v>633</v>
      </c>
    </row>
    <row r="106" spans="2:18" s="201" customFormat="1" ht="15.95" hidden="1" customHeight="1" x14ac:dyDescent="0.15">
      <c r="B106" s="454" t="s">
        <v>688</v>
      </c>
      <c r="C106" s="193" t="s">
        <v>4</v>
      </c>
      <c r="D106" s="227">
        <f>D22</f>
        <v>4862165.333333333</v>
      </c>
      <c r="E106" s="201" t="s">
        <v>750</v>
      </c>
      <c r="G106" s="725"/>
      <c r="H106" s="725"/>
      <c r="I106" s="725"/>
    </row>
    <row r="107" spans="2:18" s="201" customFormat="1" ht="15.95" hidden="1" customHeight="1" x14ac:dyDescent="0.15">
      <c r="B107" s="454" t="s">
        <v>787</v>
      </c>
      <c r="C107" s="193" t="s">
        <v>4</v>
      </c>
      <c r="D107" s="454" t="str">
        <f>Q112</f>
        <v>W.L × a₁</v>
      </c>
      <c r="G107" s="725"/>
      <c r="H107" s="725"/>
      <c r="I107" s="725"/>
    </row>
    <row r="108" spans="2:18" s="201" customFormat="1" ht="15.95" hidden="1" customHeight="1" x14ac:dyDescent="0.15">
      <c r="B108" s="454"/>
      <c r="C108" s="193" t="s">
        <v>4</v>
      </c>
      <c r="D108" s="191">
        <f>Q111</f>
        <v>0</v>
      </c>
      <c r="E108" s="192" t="s">
        <v>753</v>
      </c>
      <c r="G108" s="725"/>
      <c r="H108" s="725"/>
      <c r="I108" s="725"/>
    </row>
    <row r="109" spans="2:18" s="201" customFormat="1" ht="15.95" hidden="1" customHeight="1" x14ac:dyDescent="0.15">
      <c r="B109" s="454" t="s">
        <v>788</v>
      </c>
      <c r="C109" s="193" t="s">
        <v>4</v>
      </c>
      <c r="D109" s="454" t="str">
        <f>Q114</f>
        <v>( W.L × L ) / 2</v>
      </c>
      <c r="G109" s="725"/>
      <c r="H109" s="725"/>
      <c r="I109" s="725"/>
    </row>
    <row r="110" spans="2:18" s="201" customFormat="1" ht="15.95" hidden="1" customHeight="1" x14ac:dyDescent="0.15">
      <c r="C110" s="193" t="s">
        <v>4</v>
      </c>
      <c r="D110" s="191">
        <f>Q113</f>
        <v>0</v>
      </c>
      <c r="E110" s="192" t="s">
        <v>753</v>
      </c>
      <c r="G110" s="725"/>
      <c r="H110" s="725"/>
      <c r="I110" s="725"/>
    </row>
    <row r="111" spans="2:18" s="201" customFormat="1" ht="15.95" hidden="1" customHeight="1" x14ac:dyDescent="0.15">
      <c r="L111" s="462" t="s">
        <v>787</v>
      </c>
      <c r="M111" s="463" t="s">
        <v>789</v>
      </c>
      <c r="N111" s="270">
        <f>(D101*D102/2)</f>
        <v>0</v>
      </c>
      <c r="O111" s="464" t="s">
        <v>790</v>
      </c>
      <c r="Q111" s="465">
        <f>IF($D$103&gt;$D$102, N111, N112)</f>
        <v>0</v>
      </c>
      <c r="R111" s="466"/>
    </row>
    <row r="112" spans="2:18" s="201" customFormat="1" ht="15.95" hidden="1" customHeight="1" x14ac:dyDescent="0.15">
      <c r="B112" s="454" t="s">
        <v>791</v>
      </c>
      <c r="C112" s="193" t="s">
        <v>4</v>
      </c>
      <c r="D112" s="454" t="s">
        <v>792</v>
      </c>
      <c r="G112" s="454" t="s">
        <v>793</v>
      </c>
      <c r="H112" s="193" t="s">
        <v>4</v>
      </c>
      <c r="I112" s="454" t="s">
        <v>794</v>
      </c>
      <c r="L112" s="462"/>
      <c r="M112" s="463" t="s">
        <v>795</v>
      </c>
      <c r="N112" s="270">
        <f>D101*(D103/2)</f>
        <v>0</v>
      </c>
      <c r="O112" s="464" t="s">
        <v>796</v>
      </c>
      <c r="Q112" s="467" t="str">
        <f>IF($D$103&gt;=$D$102, O111, O112)</f>
        <v>W.L × a₁</v>
      </c>
      <c r="R112" s="466"/>
    </row>
    <row r="113" spans="2:18" s="201" customFormat="1" ht="15.95" hidden="1" customHeight="1" x14ac:dyDescent="0.15">
      <c r="B113" s="454"/>
      <c r="C113" s="193" t="s">
        <v>4</v>
      </c>
      <c r="D113" s="227">
        <f>D103/2</f>
        <v>325</v>
      </c>
      <c r="E113" s="192" t="s">
        <v>468</v>
      </c>
      <c r="G113" s="454"/>
      <c r="H113" s="193" t="s">
        <v>4</v>
      </c>
      <c r="I113" s="227">
        <f>D104/2</f>
        <v>850</v>
      </c>
      <c r="J113" s="192" t="s">
        <v>468</v>
      </c>
      <c r="L113" s="462" t="s">
        <v>788</v>
      </c>
      <c r="M113" s="463" t="s">
        <v>797</v>
      </c>
      <c r="N113" s="270">
        <f>(D101*D102/2)</f>
        <v>0</v>
      </c>
      <c r="O113" s="464" t="s">
        <v>790</v>
      </c>
      <c r="Q113" s="465">
        <f>IF($D$104&gt;$D$102, N113, N114)</f>
        <v>0</v>
      </c>
      <c r="R113" s="466"/>
    </row>
    <row r="114" spans="2:18" s="201" customFormat="1" ht="15.95" hidden="1" customHeight="1" x14ac:dyDescent="0.15">
      <c r="B114" s="454"/>
      <c r="C114" s="193"/>
      <c r="D114" s="220"/>
      <c r="G114" s="454"/>
      <c r="H114" s="193"/>
      <c r="I114" s="220"/>
      <c r="L114" s="454"/>
      <c r="M114" s="463" t="s">
        <v>798</v>
      </c>
      <c r="N114" s="270">
        <f>D101*(D104/2)</f>
        <v>0</v>
      </c>
      <c r="O114" s="464" t="s">
        <v>799</v>
      </c>
      <c r="Q114" s="467" t="str">
        <f>IF($D$104&gt;=$D$102, O113, O114)</f>
        <v>( W.L × L ) / 2</v>
      </c>
      <c r="R114" s="466"/>
    </row>
    <row r="115" spans="2:18" s="201" customFormat="1" ht="15.95" hidden="1" customHeight="1" x14ac:dyDescent="0.15">
      <c r="B115" s="209" t="s">
        <v>622</v>
      </c>
      <c r="Q115" s="468"/>
      <c r="R115" s="466"/>
    </row>
    <row r="116" spans="2:18" s="201" customFormat="1" ht="15.95" hidden="1" customHeight="1" x14ac:dyDescent="0.15">
      <c r="Q116" s="468"/>
      <c r="R116" s="466"/>
    </row>
    <row r="117" spans="2:18" s="201" customFormat="1" ht="15.95" hidden="1" customHeight="1" x14ac:dyDescent="0.15">
      <c r="B117" s="454" t="s">
        <v>761</v>
      </c>
      <c r="C117" s="193" t="s">
        <v>4</v>
      </c>
      <c r="D117" s="454" t="s">
        <v>762</v>
      </c>
      <c r="E117" s="193"/>
      <c r="G117" s="454" t="s">
        <v>763</v>
      </c>
      <c r="H117" s="193" t="s">
        <v>4</v>
      </c>
      <c r="I117" s="454" t="s">
        <v>764</v>
      </c>
      <c r="J117" s="193"/>
      <c r="L117" s="462" t="s">
        <v>761</v>
      </c>
      <c r="M117" s="463" t="s">
        <v>789</v>
      </c>
      <c r="N117" s="276">
        <f>(D108*D102)/4</f>
        <v>0</v>
      </c>
      <c r="O117" s="464" t="s">
        <v>800</v>
      </c>
      <c r="Q117" s="465">
        <f>IF($D$103&gt;$D$102, N117, N118)</f>
        <v>0</v>
      </c>
    </row>
    <row r="118" spans="2:18" s="201" customFormat="1" ht="15.95" hidden="1" customHeight="1" x14ac:dyDescent="0.15">
      <c r="B118" s="454"/>
      <c r="C118" s="193" t="s">
        <v>4</v>
      </c>
      <c r="D118" s="454" t="str">
        <f>Q118</f>
        <v>w₁ ( L - a₁ ) / 2</v>
      </c>
      <c r="E118" s="193"/>
      <c r="F118" s="454"/>
      <c r="G118" s="454"/>
      <c r="H118" s="193" t="s">
        <v>4</v>
      </c>
      <c r="I118" s="454" t="str">
        <f>Q120</f>
        <v>( w₂ × L ) / 4</v>
      </c>
      <c r="J118" s="193"/>
      <c r="L118" s="277"/>
      <c r="M118" s="463" t="s">
        <v>795</v>
      </c>
      <c r="N118" s="276">
        <f>(D108*(D102-D113)/2)</f>
        <v>0</v>
      </c>
      <c r="O118" s="464" t="s">
        <v>801</v>
      </c>
      <c r="Q118" s="467" t="str">
        <f>IF($D$103&gt;=$D$102, O117, O118)</f>
        <v>w₁ ( L - a₁ ) / 2</v>
      </c>
      <c r="R118" s="466"/>
    </row>
    <row r="119" spans="2:18" s="201" customFormat="1" ht="15.95" hidden="1" customHeight="1" x14ac:dyDescent="0.15">
      <c r="B119" s="454"/>
      <c r="C119" s="193" t="s">
        <v>4</v>
      </c>
      <c r="D119" s="227">
        <f>Q117</f>
        <v>0</v>
      </c>
      <c r="E119" s="212" t="s">
        <v>476</v>
      </c>
      <c r="F119" s="454"/>
      <c r="G119" s="454"/>
      <c r="H119" s="193" t="s">
        <v>4</v>
      </c>
      <c r="I119" s="227">
        <f>Q119</f>
        <v>0</v>
      </c>
      <c r="J119" s="212" t="s">
        <v>476</v>
      </c>
      <c r="L119" s="462" t="s">
        <v>763</v>
      </c>
      <c r="M119" s="463" t="s">
        <v>797</v>
      </c>
      <c r="N119" s="276">
        <f>(D110*D102)/4</f>
        <v>0</v>
      </c>
      <c r="O119" s="464" t="s">
        <v>802</v>
      </c>
      <c r="Q119" s="465">
        <f>IF($D$104&gt;$D$102, N119, N120)</f>
        <v>0</v>
      </c>
    </row>
    <row r="120" spans="2:18" s="201" customFormat="1" ht="15.95" hidden="1" customHeight="1" x14ac:dyDescent="0.15">
      <c r="B120" s="454"/>
      <c r="C120" s="193"/>
      <c r="D120" s="220"/>
      <c r="F120" s="454"/>
      <c r="G120" s="454"/>
      <c r="H120" s="193"/>
      <c r="I120" s="220"/>
      <c r="L120" s="212"/>
      <c r="M120" s="463" t="s">
        <v>798</v>
      </c>
      <c r="N120" s="276">
        <f>(D110*(D102-I113)/2)</f>
        <v>0</v>
      </c>
      <c r="O120" s="464" t="s">
        <v>803</v>
      </c>
      <c r="Q120" s="467" t="str">
        <f>IF($D$104&gt;=$D$102, O119, O120)</f>
        <v>( w₂ × L ) / 4</v>
      </c>
      <c r="R120" s="466"/>
    </row>
    <row r="121" spans="2:18" s="201" customFormat="1" ht="15.95" hidden="1" customHeight="1" x14ac:dyDescent="0.15">
      <c r="B121" s="454" t="s">
        <v>804</v>
      </c>
      <c r="C121" s="193" t="s">
        <v>4</v>
      </c>
      <c r="D121" s="454" t="s">
        <v>805</v>
      </c>
      <c r="F121" s="454"/>
      <c r="Q121" s="468"/>
      <c r="R121" s="466"/>
    </row>
    <row r="122" spans="2:18" s="201" customFormat="1" ht="15.95" hidden="1" customHeight="1" x14ac:dyDescent="0.15">
      <c r="B122" s="454"/>
      <c r="C122" s="193" t="s">
        <v>4</v>
      </c>
      <c r="D122" s="227">
        <f>D119+I119</f>
        <v>0</v>
      </c>
      <c r="E122" s="212" t="s">
        <v>476</v>
      </c>
      <c r="F122" s="454"/>
      <c r="L122" s="212"/>
      <c r="M122" s="196"/>
      <c r="Q122" s="468"/>
      <c r="R122" s="466"/>
    </row>
    <row r="123" spans="2:18" s="201" customFormat="1" ht="15.95" hidden="1" customHeight="1" x14ac:dyDescent="0.15">
      <c r="B123" s="454"/>
      <c r="C123" s="193"/>
      <c r="D123" s="454"/>
      <c r="E123" s="193"/>
      <c r="F123" s="454"/>
      <c r="L123" s="212"/>
      <c r="M123" s="277"/>
      <c r="N123" s="205"/>
      <c r="Q123" s="468"/>
      <c r="R123" s="466"/>
    </row>
    <row r="124" spans="2:18" s="201" customFormat="1" ht="15.95" hidden="1" customHeight="1" x14ac:dyDescent="0.15">
      <c r="B124" s="454" t="s">
        <v>806</v>
      </c>
      <c r="C124" s="193" t="s">
        <v>4</v>
      </c>
      <c r="D124" s="367" t="s">
        <v>807</v>
      </c>
      <c r="E124" s="193"/>
      <c r="G124" s="192"/>
      <c r="L124" s="12"/>
      <c r="M124" s="184"/>
      <c r="N124" s="43"/>
      <c r="Q124" s="468"/>
      <c r="R124" s="466"/>
    </row>
    <row r="125" spans="2:18" s="201" customFormat="1" ht="15.95" hidden="1" customHeight="1" x14ac:dyDescent="0.15">
      <c r="B125" s="454"/>
      <c r="C125" s="193" t="s">
        <v>4</v>
      </c>
      <c r="D125" s="454" t="s">
        <v>804</v>
      </c>
      <c r="E125" s="193"/>
      <c r="F125" s="454"/>
      <c r="L125" s="12"/>
      <c r="M125" s="460"/>
      <c r="N125" s="12"/>
      <c r="Q125" s="468"/>
      <c r="R125" s="466"/>
    </row>
    <row r="126" spans="2:18" s="201" customFormat="1" ht="15.95" hidden="1" customHeight="1" x14ac:dyDescent="0.15">
      <c r="B126" s="454"/>
      <c r="C126" s="193" t="s">
        <v>4</v>
      </c>
      <c r="D126" s="227">
        <f>D122</f>
        <v>0</v>
      </c>
      <c r="E126" s="212" t="s">
        <v>476</v>
      </c>
      <c r="F126" s="454"/>
      <c r="L126" s="12"/>
      <c r="M126" s="461"/>
      <c r="N126" s="43"/>
      <c r="Q126" s="468"/>
      <c r="R126" s="466"/>
    </row>
    <row r="127" spans="2:18" s="201" customFormat="1" ht="15.95" hidden="1" customHeight="1" x14ac:dyDescent="0.15">
      <c r="B127" s="454"/>
      <c r="C127" s="193"/>
      <c r="D127" s="367"/>
      <c r="E127" s="193"/>
      <c r="F127" s="454"/>
      <c r="L127" s="12"/>
      <c r="M127" s="460"/>
      <c r="N127" s="12"/>
      <c r="O127" s="212"/>
      <c r="Q127" s="468"/>
      <c r="R127" s="466"/>
    </row>
    <row r="128" spans="2:18" s="201" customFormat="1" ht="15.95" hidden="1" customHeight="1" x14ac:dyDescent="0.15">
      <c r="B128" s="454" t="s">
        <v>808</v>
      </c>
      <c r="C128" s="193" t="s">
        <v>4</v>
      </c>
      <c r="D128" s="454" t="str">
        <f>Q129</f>
        <v>w₁ (  3L² - 4a₁² ) / 24</v>
      </c>
      <c r="E128" s="193"/>
      <c r="G128" s="454" t="s">
        <v>809</v>
      </c>
      <c r="H128" s="193" t="s">
        <v>4</v>
      </c>
      <c r="I128" s="454" t="str">
        <f>Q131</f>
        <v>( w₂ × L²  ) / 12</v>
      </c>
      <c r="J128" s="212"/>
      <c r="L128" s="462" t="s">
        <v>810</v>
      </c>
      <c r="M128" s="463" t="s">
        <v>789</v>
      </c>
      <c r="N128" s="278">
        <f>(D108*D102^2)/12</f>
        <v>0</v>
      </c>
      <c r="O128" s="469" t="s">
        <v>811</v>
      </c>
      <c r="Q128" s="465">
        <f>IF($D$103&gt;$D$102, N128, N129)</f>
        <v>0</v>
      </c>
    </row>
    <row r="129" spans="1:18" s="201" customFormat="1" ht="15.95" hidden="1" customHeight="1" x14ac:dyDescent="0.15">
      <c r="B129" s="454"/>
      <c r="C129" s="193" t="s">
        <v>4</v>
      </c>
      <c r="D129" s="227">
        <f>Q128</f>
        <v>0</v>
      </c>
      <c r="E129" s="192" t="s">
        <v>498</v>
      </c>
      <c r="G129" s="454"/>
      <c r="H129" s="193" t="s">
        <v>4</v>
      </c>
      <c r="I129" s="227">
        <f>Q130</f>
        <v>0</v>
      </c>
      <c r="J129" s="192" t="s">
        <v>498</v>
      </c>
      <c r="L129" s="277"/>
      <c r="M129" s="463" t="s">
        <v>795</v>
      </c>
      <c r="N129" s="278">
        <f>D108*(3*D102^2-4*D113^2)/24</f>
        <v>0</v>
      </c>
      <c r="O129" s="469" t="s">
        <v>812</v>
      </c>
      <c r="Q129" s="467" t="str">
        <f>IF($D$103&gt;=$D$102, O128, O129)</f>
        <v>w₁ (  3L² - 4a₁² ) / 24</v>
      </c>
      <c r="R129" s="466"/>
    </row>
    <row r="130" spans="1:18" s="201" customFormat="1" ht="15.95" hidden="1" customHeight="1" x14ac:dyDescent="0.15">
      <c r="B130" s="454"/>
      <c r="C130" s="193"/>
      <c r="D130" s="220"/>
      <c r="E130" s="212"/>
      <c r="L130" s="462" t="s">
        <v>813</v>
      </c>
      <c r="M130" s="463" t="s">
        <v>797</v>
      </c>
      <c r="N130" s="278">
        <f>(D110*D102^2)/12</f>
        <v>0</v>
      </c>
      <c r="O130" s="469" t="s">
        <v>814</v>
      </c>
      <c r="Q130" s="465">
        <f>IF($D$104&gt;$D$102, N130, N131)</f>
        <v>0</v>
      </c>
    </row>
    <row r="131" spans="1:18" s="201" customFormat="1" ht="15.95" hidden="1" customHeight="1" x14ac:dyDescent="0.15">
      <c r="B131" s="454" t="s">
        <v>674</v>
      </c>
      <c r="C131" s="193" t="s">
        <v>4</v>
      </c>
      <c r="D131" s="459" t="s">
        <v>1112</v>
      </c>
      <c r="E131" s="212"/>
      <c r="L131" s="212"/>
      <c r="M131" s="463" t="s">
        <v>798</v>
      </c>
      <c r="N131" s="278">
        <f>D110*(3*D102^2-4*I113^2)/24</f>
        <v>0</v>
      </c>
      <c r="O131" s="469" t="s">
        <v>815</v>
      </c>
      <c r="Q131" s="467" t="str">
        <f>IF($D$104&gt;=$D$102, O130, O131)</f>
        <v>( w₂ × L²  ) / 12</v>
      </c>
      <c r="R131" s="466"/>
    </row>
    <row r="132" spans="1:18" s="201" customFormat="1" ht="15.95" hidden="1" customHeight="1" x14ac:dyDescent="0.15">
      <c r="B132" s="454"/>
      <c r="C132" s="193" t="s">
        <v>4</v>
      </c>
      <c r="D132" s="261">
        <f>0.65*(D129+I129)</f>
        <v>0</v>
      </c>
      <c r="E132" s="212" t="s">
        <v>498</v>
      </c>
      <c r="L132" s="213"/>
      <c r="M132" s="277"/>
      <c r="N132" s="213"/>
      <c r="Q132" s="468"/>
      <c r="R132" s="466"/>
    </row>
    <row r="133" spans="1:18" s="201" customFormat="1" ht="15.95" hidden="1" customHeight="1" x14ac:dyDescent="0.15">
      <c r="B133" s="454"/>
      <c r="C133" s="193"/>
      <c r="D133" s="454"/>
      <c r="E133" s="193"/>
      <c r="M133" s="277"/>
      <c r="Q133" s="468"/>
      <c r="R133" s="466"/>
    </row>
    <row r="134" spans="1:18" s="201" customFormat="1" ht="15.95" hidden="1" customHeight="1" x14ac:dyDescent="0.15">
      <c r="B134" s="454" t="s">
        <v>816</v>
      </c>
      <c r="C134" s="193" t="s">
        <v>4</v>
      </c>
      <c r="D134" s="454" t="str">
        <f>Q135</f>
        <v>w₁ ( 5L² - 4a₁² )² / 1920EI</v>
      </c>
      <c r="F134" s="213"/>
      <c r="G134" s="454" t="s">
        <v>817</v>
      </c>
      <c r="H134" s="193" t="s">
        <v>4</v>
      </c>
      <c r="I134" s="454" t="str">
        <f>Q137</f>
        <v>( w₂× L⁴ ) / 120 EI</v>
      </c>
      <c r="L134" s="462" t="s">
        <v>810</v>
      </c>
      <c r="M134" s="463" t="s">
        <v>789</v>
      </c>
      <c r="N134" s="280">
        <f>(D108*D102^4)/(120*D105*D106)</f>
        <v>0</v>
      </c>
      <c r="O134" s="469" t="s">
        <v>818</v>
      </c>
      <c r="Q134" s="470">
        <f>IF($D$103&gt;$D$102, N134, N135)</f>
        <v>0</v>
      </c>
    </row>
    <row r="135" spans="1:18" s="201" customFormat="1" ht="15.95" hidden="1" customHeight="1" x14ac:dyDescent="0.15">
      <c r="C135" s="193" t="s">
        <v>4</v>
      </c>
      <c r="D135" s="191">
        <f>Q134</f>
        <v>0</v>
      </c>
      <c r="E135" s="192" t="s">
        <v>468</v>
      </c>
      <c r="H135" s="193" t="s">
        <v>4</v>
      </c>
      <c r="I135" s="191">
        <f>Q136</f>
        <v>0</v>
      </c>
      <c r="J135" s="192" t="s">
        <v>468</v>
      </c>
      <c r="L135" s="277"/>
      <c r="M135" s="463" t="s">
        <v>795</v>
      </c>
      <c r="N135" s="280">
        <f>D108*(5*D102^2-4*D113^2)^2/(1920*D105*D106)</f>
        <v>0</v>
      </c>
      <c r="O135" s="469" t="s">
        <v>819</v>
      </c>
      <c r="Q135" s="467" t="str">
        <f>IF($D$103&gt;=$D$102, O134, O135)</f>
        <v>w₁ ( 5L² - 4a₁² )² / 1920EI</v>
      </c>
      <c r="R135" s="466"/>
    </row>
    <row r="136" spans="1:18" s="201" customFormat="1" ht="15.95" hidden="1" customHeight="1" x14ac:dyDescent="0.15">
      <c r="C136" s="277"/>
      <c r="D136" s="258"/>
      <c r="I136" s="208"/>
      <c r="L136" s="462" t="s">
        <v>813</v>
      </c>
      <c r="M136" s="463" t="s">
        <v>797</v>
      </c>
      <c r="N136" s="280">
        <f>(D110*D102^4)/(120*D105*D106)</f>
        <v>0</v>
      </c>
      <c r="O136" s="469" t="s">
        <v>820</v>
      </c>
      <c r="Q136" s="470">
        <f>IF($D$104&gt;$D$102, N136, N137)</f>
        <v>0</v>
      </c>
    </row>
    <row r="137" spans="1:18" s="201" customFormat="1" ht="15.95" hidden="1" customHeight="1" x14ac:dyDescent="0.15">
      <c r="B137" s="454" t="s">
        <v>677</v>
      </c>
      <c r="C137" s="193" t="s">
        <v>4</v>
      </c>
      <c r="D137" s="454" t="s">
        <v>1114</v>
      </c>
      <c r="I137" s="208"/>
      <c r="L137" s="212"/>
      <c r="M137" s="463" t="s">
        <v>798</v>
      </c>
      <c r="N137" s="280">
        <f>D110*(5*D102^2-4*I113^2)^2/(1920*D105*D106)</f>
        <v>0</v>
      </c>
      <c r="O137" s="469" t="s">
        <v>821</v>
      </c>
      <c r="Q137" s="467" t="str">
        <f>IF($D$104&gt;=$D$102, O136, O137)</f>
        <v>( w₂× L⁴ ) / 120 EI</v>
      </c>
      <c r="R137" s="466"/>
    </row>
    <row r="138" spans="1:18" s="201" customFormat="1" ht="15.95" hidden="1" customHeight="1" x14ac:dyDescent="0.15">
      <c r="C138" s="193" t="s">
        <v>4</v>
      </c>
      <c r="D138" s="282">
        <f>0.65*(D135+I135)</f>
        <v>0</v>
      </c>
      <c r="E138" s="192" t="s">
        <v>468</v>
      </c>
      <c r="I138" s="208"/>
    </row>
    <row r="139" spans="1:18" s="201" customFormat="1" ht="15.95" hidden="1" customHeight="1" x14ac:dyDescent="0.15">
      <c r="A139" s="192"/>
      <c r="B139" s="19" t="s">
        <v>144</v>
      </c>
      <c r="C139" s="192"/>
      <c r="D139" s="192"/>
      <c r="E139" s="192"/>
      <c r="F139" s="192"/>
      <c r="G139" s="192"/>
      <c r="H139" s="192"/>
      <c r="I139" s="192"/>
      <c r="J139" s="192"/>
      <c r="K139" s="192"/>
      <c r="L139" s="192"/>
      <c r="M139" s="205"/>
    </row>
    <row r="140" spans="1:18" s="201" customFormat="1" ht="15.95" hidden="1" customHeight="1" x14ac:dyDescent="0.15">
      <c r="A140" s="192"/>
      <c r="B140" s="19"/>
      <c r="C140" s="192"/>
      <c r="D140" s="192"/>
      <c r="E140" s="192"/>
      <c r="F140" s="192"/>
      <c r="G140" s="192"/>
      <c r="H140" s="192"/>
      <c r="I140" s="192"/>
      <c r="J140" s="192"/>
      <c r="K140" s="192"/>
      <c r="L140" s="192"/>
      <c r="M140" s="205"/>
    </row>
    <row r="141" spans="1:18" s="201" customFormat="1" ht="15.95" hidden="1" customHeight="1" x14ac:dyDescent="0.15">
      <c r="A141" s="192"/>
      <c r="B141" s="192" t="s">
        <v>634</v>
      </c>
      <c r="C141" s="192"/>
      <c r="D141" s="192"/>
      <c r="E141" s="192"/>
      <c r="F141" s="192"/>
      <c r="G141" s="192"/>
      <c r="H141" s="192"/>
      <c r="I141" s="192"/>
      <c r="J141" s="192"/>
      <c r="K141" s="192"/>
      <c r="L141" s="192"/>
      <c r="M141" s="205"/>
    </row>
    <row r="142" spans="1:18" s="201" customFormat="1" ht="15.95" hidden="1" customHeight="1" x14ac:dyDescent="0.15">
      <c r="A142" s="192"/>
      <c r="B142" s="19"/>
      <c r="C142" s="192"/>
      <c r="D142" s="192"/>
      <c r="E142" s="192"/>
      <c r="F142" s="192"/>
      <c r="G142" s="192"/>
      <c r="H142" s="192"/>
      <c r="I142" s="192"/>
      <c r="J142" s="192"/>
      <c r="K142" s="192"/>
      <c r="L142" s="192"/>
      <c r="M142" s="205"/>
    </row>
    <row r="143" spans="1:18" s="201" customFormat="1" ht="15.95" hidden="1" customHeight="1" x14ac:dyDescent="0.15">
      <c r="B143" s="214" t="s">
        <v>132</v>
      </c>
      <c r="C143" s="193"/>
      <c r="D143" s="191"/>
      <c r="G143" s="220"/>
    </row>
    <row r="144" spans="1:18" s="201" customFormat="1" ht="15.95" hidden="1" customHeight="1" x14ac:dyDescent="0.15">
      <c r="C144" s="205"/>
    </row>
    <row r="145" spans="1:14" s="201" customFormat="1" ht="15.95" hidden="1" customHeight="1" thickBot="1" x14ac:dyDescent="0.2">
      <c r="B145" s="445" t="s">
        <v>855</v>
      </c>
      <c r="C145" s="193" t="s">
        <v>4</v>
      </c>
      <c r="D145" s="220">
        <f>D84/D25</f>
        <v>3.1145571370162686</v>
      </c>
      <c r="E145" s="201" t="s">
        <v>645</v>
      </c>
      <c r="G145" s="459" t="s">
        <v>1001</v>
      </c>
      <c r="M145" s="193" t="s">
        <v>635</v>
      </c>
    </row>
    <row r="146" spans="1:14" s="201" customFormat="1" ht="15.95" hidden="1" customHeight="1" thickBot="1" x14ac:dyDescent="0.2">
      <c r="C146" s="205"/>
      <c r="D146" s="366"/>
      <c r="M146" s="471" t="e">
        <f>VLOOKUP(#REF!,#REF!,2,0)</f>
        <v>#REF!</v>
      </c>
    </row>
    <row r="147" spans="1:14" s="201" customFormat="1" ht="15.95" hidden="1" customHeight="1" x14ac:dyDescent="0.15">
      <c r="C147" s="205"/>
      <c r="D147" s="366"/>
    </row>
    <row r="148" spans="1:14" s="201" customFormat="1" ht="15.95" hidden="1" customHeight="1" x14ac:dyDescent="0.15">
      <c r="B148" s="214" t="s">
        <v>133</v>
      </c>
      <c r="C148" s="205"/>
      <c r="D148" s="366"/>
    </row>
    <row r="149" spans="1:14" s="201" customFormat="1" ht="15.95" hidden="1" customHeight="1" x14ac:dyDescent="0.15">
      <c r="C149" s="205"/>
      <c r="D149" s="366"/>
      <c r="L149" s="186">
        <f>L1</f>
        <v>1</v>
      </c>
      <c r="M149" s="24"/>
      <c r="N149" s="24"/>
    </row>
    <row r="150" spans="1:14" s="201" customFormat="1" ht="15.95" hidden="1" customHeight="1" x14ac:dyDescent="0.15">
      <c r="B150" s="445" t="s">
        <v>893</v>
      </c>
      <c r="C150" s="193" t="s">
        <v>4</v>
      </c>
      <c r="D150" s="220">
        <f>IF(L149=L150,M150,M151)</f>
        <v>275</v>
      </c>
      <c r="E150" s="201" t="s">
        <v>645</v>
      </c>
      <c r="G150" s="220" t="str">
        <f>IF(L149=L150,N150,N151)</f>
        <v>( SS 275  Yield Strength )</v>
      </c>
      <c r="L150" s="353">
        <v>1</v>
      </c>
      <c r="M150" s="348">
        <v>275</v>
      </c>
      <c r="N150" s="220" t="s">
        <v>888</v>
      </c>
    </row>
    <row r="151" spans="1:14" s="201" customFormat="1" ht="15.95" hidden="1" customHeight="1" x14ac:dyDescent="0.15">
      <c r="B151" s="445" t="s">
        <v>857</v>
      </c>
      <c r="C151" s="193" t="s">
        <v>4</v>
      </c>
      <c r="D151" s="472" t="s">
        <v>650</v>
      </c>
      <c r="E151" s="473"/>
      <c r="F151" s="191"/>
      <c r="G151" s="191"/>
      <c r="J151" s="191"/>
      <c r="K151" s="191"/>
      <c r="L151" s="353">
        <v>2</v>
      </c>
      <c r="M151" s="348">
        <v>205</v>
      </c>
      <c r="N151" s="220" t="s">
        <v>887</v>
      </c>
    </row>
    <row r="152" spans="1:14" s="201" customFormat="1" ht="15.95" hidden="1" customHeight="1" x14ac:dyDescent="0.15">
      <c r="B152" s="208"/>
      <c r="C152" s="193" t="s">
        <v>4</v>
      </c>
      <c r="D152" s="220">
        <f>0.66*D150</f>
        <v>181.5</v>
      </c>
      <c r="E152" s="201" t="s">
        <v>645</v>
      </c>
      <c r="G152" s="191"/>
      <c r="H152" s="191"/>
      <c r="I152" s="191"/>
      <c r="J152" s="191"/>
      <c r="K152" s="191"/>
    </row>
    <row r="153" spans="1:14" s="201" customFormat="1" ht="15.95" hidden="1" customHeight="1" x14ac:dyDescent="0.15">
      <c r="B153" s="208"/>
      <c r="C153" s="193"/>
      <c r="D153" s="220"/>
      <c r="G153" s="191"/>
      <c r="H153" s="191"/>
      <c r="I153" s="191"/>
      <c r="J153" s="191"/>
      <c r="K153" s="191"/>
    </row>
    <row r="154" spans="1:14" s="201" customFormat="1" ht="15.95" hidden="1" customHeight="1" x14ac:dyDescent="0.15"/>
    <row r="155" spans="1:14" s="201" customFormat="1" ht="15.95" hidden="1" customHeight="1" x14ac:dyDescent="0.15">
      <c r="B155" s="214" t="s">
        <v>142</v>
      </c>
      <c r="C155" s="191"/>
      <c r="E155" s="191"/>
      <c r="F155" s="191"/>
      <c r="G155" s="191"/>
      <c r="H155" s="191"/>
      <c r="I155" s="191"/>
      <c r="J155" s="191"/>
      <c r="K155" s="191"/>
      <c r="L155" s="191"/>
      <c r="M155" s="205"/>
    </row>
    <row r="156" spans="1:14" ht="15.95" hidden="1" customHeight="1" x14ac:dyDescent="0.15"/>
    <row r="157" spans="1:14" s="201" customFormat="1" ht="15.95" hidden="1" customHeight="1" x14ac:dyDescent="0.15">
      <c r="B157" s="473" t="s">
        <v>860</v>
      </c>
      <c r="C157" s="193" t="s">
        <v>4</v>
      </c>
      <c r="D157" s="215">
        <f>D145/D152</f>
        <v>1.7160094418822415E-2</v>
      </c>
      <c r="E157" s="216" t="str">
        <f>IF(D157&gt;F157,"&gt;","&lt;")</f>
        <v>&lt;</v>
      </c>
      <c r="F157" s="217">
        <v>1</v>
      </c>
      <c r="G157" s="218" t="str">
        <f>IF(D157&lt;F157,"O.K.","N.G.")</f>
        <v>O.K.</v>
      </c>
      <c r="J157" s="191"/>
      <c r="K157" s="191"/>
      <c r="L157" s="191"/>
      <c r="M157" s="205"/>
    </row>
    <row r="158" spans="1:14" s="201" customFormat="1" ht="15.95" hidden="1" customHeight="1" x14ac:dyDescent="0.15">
      <c r="B158" s="473"/>
      <c r="C158" s="193"/>
      <c r="D158" s="215"/>
      <c r="E158" s="216"/>
      <c r="F158" s="217"/>
      <c r="G158" s="217"/>
      <c r="J158" s="191"/>
      <c r="K158" s="191"/>
      <c r="L158" s="191"/>
      <c r="M158" s="205"/>
    </row>
    <row r="159" spans="1:14" s="201" customFormat="1" ht="15.95" hidden="1" customHeight="1" x14ac:dyDescent="0.15">
      <c r="A159" s="192"/>
      <c r="B159" s="192" t="s">
        <v>636</v>
      </c>
      <c r="C159" s="192"/>
      <c r="D159" s="192"/>
      <c r="E159" s="192"/>
      <c r="F159" s="192"/>
      <c r="G159" s="192"/>
      <c r="H159" s="192"/>
      <c r="I159" s="192"/>
      <c r="J159" s="192"/>
      <c r="K159" s="192"/>
      <c r="L159" s="192"/>
      <c r="M159" s="205"/>
    </row>
    <row r="160" spans="1:14" s="201" customFormat="1" ht="15.95" hidden="1" customHeight="1" x14ac:dyDescent="0.15">
      <c r="A160" s="192"/>
      <c r="B160" s="19"/>
      <c r="C160" s="192"/>
      <c r="D160" s="192"/>
      <c r="E160" s="192"/>
      <c r="F160" s="192"/>
      <c r="G160" s="192"/>
      <c r="H160" s="192"/>
      <c r="I160" s="192"/>
      <c r="J160" s="192"/>
      <c r="K160" s="192"/>
      <c r="L160" s="192"/>
      <c r="M160" s="205"/>
    </row>
    <row r="161" spans="2:14" s="201" customFormat="1" ht="15.95" hidden="1" customHeight="1" x14ac:dyDescent="0.15">
      <c r="B161" s="214" t="s">
        <v>132</v>
      </c>
      <c r="C161" s="193"/>
      <c r="D161" s="191"/>
      <c r="G161" s="220"/>
    </row>
    <row r="162" spans="2:14" s="201" customFormat="1" ht="15.95" hidden="1" customHeight="1" x14ac:dyDescent="0.15">
      <c r="C162" s="205"/>
    </row>
    <row r="163" spans="2:14" s="201" customFormat="1" ht="15.95" hidden="1" customHeight="1" thickBot="1" x14ac:dyDescent="0.2">
      <c r="B163" s="445" t="s">
        <v>855</v>
      </c>
      <c r="C163" s="193" t="s">
        <v>4</v>
      </c>
      <c r="D163" s="220">
        <f>(D132)/D26</f>
        <v>0</v>
      </c>
      <c r="E163" s="201" t="s">
        <v>645</v>
      </c>
      <c r="G163" s="459" t="s">
        <v>1113</v>
      </c>
      <c r="M163" s="193" t="s">
        <v>635</v>
      </c>
    </row>
    <row r="164" spans="2:14" s="201" customFormat="1" ht="15.95" hidden="1" customHeight="1" thickBot="1" x14ac:dyDescent="0.2">
      <c r="C164" s="205"/>
      <c r="D164" s="366"/>
      <c r="M164" s="471" t="e">
        <f>VLOOKUP(#REF!,#REF!,2,0)</f>
        <v>#REF!</v>
      </c>
    </row>
    <row r="165" spans="2:14" s="201" customFormat="1" ht="15.95" hidden="1" customHeight="1" x14ac:dyDescent="0.15">
      <c r="C165" s="205"/>
      <c r="D165" s="366"/>
    </row>
    <row r="166" spans="2:14" s="201" customFormat="1" ht="15.95" hidden="1" customHeight="1" x14ac:dyDescent="0.15">
      <c r="B166" s="214" t="s">
        <v>133</v>
      </c>
      <c r="C166" s="205"/>
      <c r="D166" s="366"/>
    </row>
    <row r="167" spans="2:14" s="201" customFormat="1" ht="15.95" hidden="1" customHeight="1" x14ac:dyDescent="0.15">
      <c r="C167" s="205"/>
      <c r="D167" s="366"/>
      <c r="L167" s="186">
        <f>L149</f>
        <v>1</v>
      </c>
      <c r="M167" s="24"/>
      <c r="N167" s="24"/>
    </row>
    <row r="168" spans="2:14" s="201" customFormat="1" ht="15.95" hidden="1" customHeight="1" x14ac:dyDescent="0.15">
      <c r="B168" s="445" t="s">
        <v>893</v>
      </c>
      <c r="C168" s="193" t="s">
        <v>4</v>
      </c>
      <c r="D168" s="220">
        <f>IF(L167=L168,M168,M169)</f>
        <v>275</v>
      </c>
      <c r="E168" s="201" t="s">
        <v>645</v>
      </c>
      <c r="G168" s="220" t="str">
        <f>IF(L167=L168,N168,N169)</f>
        <v>( SS 275  Yield Strength )</v>
      </c>
      <c r="L168" s="353">
        <v>1</v>
      </c>
      <c r="M168" s="348">
        <v>275</v>
      </c>
      <c r="N168" s="220" t="s">
        <v>888</v>
      </c>
    </row>
    <row r="169" spans="2:14" s="201" customFormat="1" ht="15.95" hidden="1" customHeight="1" x14ac:dyDescent="0.15">
      <c r="B169" s="445" t="s">
        <v>857</v>
      </c>
      <c r="C169" s="193" t="s">
        <v>4</v>
      </c>
      <c r="D169" s="472" t="s">
        <v>650</v>
      </c>
      <c r="E169" s="473"/>
      <c r="F169" s="191"/>
      <c r="G169" s="191"/>
      <c r="J169" s="191"/>
      <c r="K169" s="191"/>
      <c r="L169" s="353">
        <v>2</v>
      </c>
      <c r="M169" s="348">
        <v>205</v>
      </c>
      <c r="N169" s="220" t="s">
        <v>887</v>
      </c>
    </row>
    <row r="170" spans="2:14" s="201" customFormat="1" ht="15.95" hidden="1" customHeight="1" x14ac:dyDescent="0.15">
      <c r="B170" s="208"/>
      <c r="C170" s="193" t="s">
        <v>4</v>
      </c>
      <c r="D170" s="220">
        <f>0.66*D168</f>
        <v>181.5</v>
      </c>
      <c r="E170" s="201" t="s">
        <v>645</v>
      </c>
      <c r="G170" s="191"/>
      <c r="H170" s="191"/>
      <c r="I170" s="191"/>
      <c r="J170" s="191"/>
      <c r="K170" s="191"/>
    </row>
    <row r="171" spans="2:14" s="201" customFormat="1" ht="15.95" hidden="1" customHeight="1" x14ac:dyDescent="0.15">
      <c r="B171" s="208"/>
      <c r="C171" s="193"/>
      <c r="D171" s="220"/>
      <c r="G171" s="191"/>
      <c r="H171" s="191"/>
      <c r="I171" s="191"/>
      <c r="J171" s="191"/>
      <c r="K171" s="191"/>
    </row>
    <row r="172" spans="2:14" s="201" customFormat="1" ht="15.95" hidden="1" customHeight="1" x14ac:dyDescent="0.15"/>
    <row r="173" spans="2:14" s="201" customFormat="1" ht="15.95" hidden="1" customHeight="1" x14ac:dyDescent="0.15">
      <c r="B173" s="214" t="s">
        <v>142</v>
      </c>
      <c r="C173" s="191"/>
      <c r="E173" s="191"/>
      <c r="F173" s="191"/>
      <c r="G173" s="191"/>
      <c r="H173" s="191"/>
      <c r="I173" s="191"/>
      <c r="J173" s="191"/>
      <c r="K173" s="191"/>
      <c r="L173" s="191"/>
      <c r="M173" s="205"/>
    </row>
    <row r="174" spans="2:14" ht="15.95" hidden="1" customHeight="1" x14ac:dyDescent="0.15"/>
    <row r="175" spans="2:14" s="201" customFormat="1" ht="15.95" hidden="1" customHeight="1" x14ac:dyDescent="0.15">
      <c r="B175" s="473" t="s">
        <v>860</v>
      </c>
      <c r="C175" s="193" t="s">
        <v>4</v>
      </c>
      <c r="D175" s="215">
        <f>D163/D170</f>
        <v>0</v>
      </c>
      <c r="E175" s="216" t="str">
        <f>IF(D175&gt;F175,"&gt;","&lt;")</f>
        <v>&lt;</v>
      </c>
      <c r="F175" s="217">
        <v>1</v>
      </c>
      <c r="G175" s="218" t="str">
        <f>IF(D175&lt;F175,"O.K.","N.G.")</f>
        <v>O.K.</v>
      </c>
      <c r="J175" s="191"/>
      <c r="K175" s="191"/>
      <c r="L175" s="191"/>
      <c r="M175" s="205"/>
    </row>
    <row r="176" spans="2:14" s="201" customFormat="1" ht="15.95" hidden="1" customHeight="1" x14ac:dyDescent="0.15">
      <c r="B176" s="473"/>
      <c r="C176" s="193"/>
      <c r="D176" s="215"/>
      <c r="E176" s="216"/>
      <c r="F176" s="217"/>
      <c r="G176" s="217"/>
      <c r="J176" s="191"/>
      <c r="K176" s="191"/>
      <c r="L176" s="191"/>
      <c r="M176" s="205"/>
    </row>
    <row r="177" spans="1:16" s="201" customFormat="1" ht="15.95" hidden="1" customHeight="1" x14ac:dyDescent="0.15">
      <c r="B177" s="473"/>
      <c r="C177" s="193"/>
      <c r="D177" s="215"/>
      <c r="E177" s="216"/>
      <c r="F177" s="217"/>
      <c r="G177" s="217"/>
      <c r="J177" s="191"/>
      <c r="K177" s="191"/>
      <c r="L177" s="191"/>
      <c r="M177" s="205"/>
    </row>
    <row r="178" spans="1:16" s="201" customFormat="1" ht="15.95" hidden="1" customHeight="1" x14ac:dyDescent="0.15">
      <c r="B178" s="473"/>
      <c r="C178" s="193"/>
      <c r="D178" s="215"/>
      <c r="E178" s="216"/>
      <c r="F178" s="217"/>
      <c r="G178" s="217"/>
      <c r="J178" s="191"/>
      <c r="K178" s="191"/>
      <c r="L178" s="191"/>
      <c r="M178" s="205"/>
    </row>
    <row r="179" spans="1:16" s="201" customFormat="1" ht="15.95" hidden="1" customHeight="1" x14ac:dyDescent="0.15">
      <c r="B179" s="473"/>
      <c r="C179" s="193"/>
      <c r="D179" s="215"/>
      <c r="E179" s="216"/>
      <c r="F179" s="217"/>
      <c r="G179" s="217"/>
      <c r="J179" s="191"/>
      <c r="K179" s="191"/>
      <c r="L179" s="191"/>
      <c r="M179" s="205"/>
    </row>
    <row r="180" spans="1:16" s="201" customFormat="1" ht="15.95" hidden="1" customHeight="1" x14ac:dyDescent="0.15">
      <c r="B180" s="473"/>
      <c r="C180" s="193"/>
      <c r="D180" s="215"/>
      <c r="E180" s="216"/>
      <c r="F180" s="217"/>
      <c r="G180" s="217"/>
      <c r="J180" s="191"/>
      <c r="K180" s="191"/>
      <c r="L180" s="191"/>
      <c r="M180" s="205"/>
    </row>
    <row r="181" spans="1:16" s="201" customFormat="1" ht="15.95" hidden="1" customHeight="1" x14ac:dyDescent="0.15">
      <c r="B181" s="473"/>
      <c r="C181" s="193"/>
      <c r="D181" s="215"/>
      <c r="E181" s="216"/>
      <c r="F181" s="217"/>
      <c r="G181" s="217"/>
      <c r="J181" s="191"/>
      <c r="K181" s="191"/>
      <c r="L181" s="191"/>
      <c r="M181" s="205"/>
    </row>
    <row r="182" spans="1:16" s="201" customFormat="1" ht="15.95" hidden="1" customHeight="1" x14ac:dyDescent="0.15">
      <c r="B182" s="473"/>
      <c r="C182" s="193"/>
      <c r="D182" s="215"/>
      <c r="E182" s="216"/>
      <c r="F182" s="217"/>
      <c r="G182" s="217"/>
      <c r="J182" s="191"/>
      <c r="K182" s="191"/>
      <c r="L182" s="191"/>
      <c r="M182" s="205"/>
    </row>
    <row r="183" spans="1:16" s="201" customFormat="1" ht="15.95" hidden="1" customHeight="1" x14ac:dyDescent="0.15">
      <c r="B183" s="473"/>
      <c r="C183" s="193"/>
      <c r="D183" s="215"/>
      <c r="E183" s="216"/>
      <c r="F183" s="217"/>
      <c r="G183" s="217"/>
      <c r="J183" s="191"/>
      <c r="K183" s="191"/>
      <c r="L183" s="191"/>
      <c r="M183" s="205"/>
    </row>
    <row r="184" spans="1:16" s="201" customFormat="1" ht="15.95" hidden="1" customHeight="1" x14ac:dyDescent="0.15">
      <c r="B184" s="473"/>
      <c r="C184" s="193"/>
      <c r="D184" s="215"/>
      <c r="E184" s="216"/>
      <c r="F184" s="217"/>
      <c r="G184" s="217"/>
      <c r="J184" s="191"/>
      <c r="K184" s="191"/>
      <c r="L184" s="191"/>
      <c r="M184" s="205"/>
    </row>
    <row r="185" spans="1:16" ht="15.95" hidden="1" customHeight="1" x14ac:dyDescent="0.15">
      <c r="B185" s="24" t="s">
        <v>145</v>
      </c>
      <c r="M185" s="191"/>
    </row>
    <row r="186" spans="1:16" ht="15.95" hidden="1" customHeight="1" x14ac:dyDescent="0.15">
      <c r="H186" s="205"/>
      <c r="I186" s="201"/>
      <c r="J186" s="201"/>
      <c r="K186" s="201"/>
      <c r="L186" s="201"/>
      <c r="M186" s="201"/>
      <c r="N186" s="201"/>
      <c r="O186" s="201"/>
      <c r="P186" s="201"/>
    </row>
    <row r="187" spans="1:16" s="201" customFormat="1" ht="15.95" hidden="1" customHeight="1" x14ac:dyDescent="0.15">
      <c r="A187" s="192"/>
      <c r="B187" s="201" t="s">
        <v>599</v>
      </c>
      <c r="C187" s="192"/>
      <c r="D187" s="192"/>
      <c r="E187" s="192"/>
      <c r="F187" s="192"/>
      <c r="G187" s="192"/>
      <c r="H187" s="205"/>
      <c r="I187" s="283"/>
    </row>
    <row r="188" spans="1:16" ht="15.95" hidden="1" customHeight="1" x14ac:dyDescent="0.15">
      <c r="H188" s="205"/>
      <c r="I188" s="201"/>
      <c r="J188" s="201"/>
      <c r="K188" s="201"/>
      <c r="L188" s="201"/>
      <c r="M188" s="208"/>
      <c r="N188" s="201"/>
      <c r="O188" s="201"/>
      <c r="P188" s="201"/>
    </row>
    <row r="189" spans="1:16" ht="15.95" hidden="1" customHeight="1" x14ac:dyDescent="0.15">
      <c r="B189" s="214" t="s">
        <v>147</v>
      </c>
      <c r="H189" s="201"/>
      <c r="I189" s="201"/>
      <c r="J189" s="201"/>
      <c r="K189" s="212"/>
      <c r="L189" s="201"/>
      <c r="M189" s="208"/>
      <c r="N189" s="201"/>
      <c r="O189" s="201"/>
      <c r="P189" s="201"/>
    </row>
    <row r="190" spans="1:16" ht="15.95" hidden="1" customHeight="1" x14ac:dyDescent="0.15">
      <c r="B190" s="214"/>
      <c r="H190" s="201"/>
      <c r="I190" s="201"/>
      <c r="J190" s="201"/>
      <c r="K190" s="201"/>
      <c r="L190" s="201"/>
      <c r="M190" s="208"/>
      <c r="N190" s="201"/>
      <c r="O190" s="201"/>
      <c r="P190" s="201"/>
    </row>
    <row r="191" spans="1:16" ht="15.95" hidden="1" customHeight="1" x14ac:dyDescent="0.15">
      <c r="B191" s="473" t="s">
        <v>867</v>
      </c>
      <c r="C191" s="193" t="s">
        <v>4</v>
      </c>
      <c r="D191" s="191">
        <f>D14</f>
        <v>0.12407364563684169</v>
      </c>
      <c r="E191" s="191" t="s">
        <v>458</v>
      </c>
      <c r="M191" s="191"/>
    </row>
    <row r="192" spans="1:16" ht="15.95" hidden="1" customHeight="1" x14ac:dyDescent="0.15">
      <c r="B192" s="210"/>
      <c r="C192" s="215"/>
      <c r="D192" s="258"/>
      <c r="G192" s="210"/>
      <c r="L192" s="210"/>
      <c r="M192" s="191"/>
    </row>
    <row r="193" spans="1:20" ht="15.95" hidden="1" customHeight="1" x14ac:dyDescent="0.15">
      <c r="B193" s="214" t="s">
        <v>146</v>
      </c>
      <c r="E193" s="191" t="s">
        <v>637</v>
      </c>
      <c r="M193" s="191"/>
    </row>
    <row r="194" spans="1:20" ht="15.95" hidden="1" customHeight="1" x14ac:dyDescent="0.15">
      <c r="M194" s="191"/>
    </row>
    <row r="195" spans="1:20" ht="15.95" hidden="1" customHeight="1" x14ac:dyDescent="0.15">
      <c r="B195" s="473" t="s">
        <v>870</v>
      </c>
      <c r="C195" s="193" t="s">
        <v>4</v>
      </c>
      <c r="D195" s="191">
        <f>E33</f>
        <v>3</v>
      </c>
      <c r="E195" s="191" t="s">
        <v>458</v>
      </c>
      <c r="F195" s="213" t="str">
        <f>VLOOKUP(D195,L195:M196,2)</f>
        <v>( 1 / 8" : Fix Window )</v>
      </c>
      <c r="L195" s="231">
        <v>1.5</v>
      </c>
      <c r="M195" s="210" t="s">
        <v>638</v>
      </c>
    </row>
    <row r="196" spans="1:20" ht="15.95" hidden="1" customHeight="1" x14ac:dyDescent="0.15">
      <c r="L196" s="231">
        <v>3</v>
      </c>
      <c r="M196" s="210" t="s">
        <v>639</v>
      </c>
    </row>
    <row r="197" spans="1:20" ht="15.95" hidden="1" customHeight="1" x14ac:dyDescent="0.15">
      <c r="B197" s="214" t="s">
        <v>153</v>
      </c>
      <c r="M197" s="191"/>
    </row>
    <row r="198" spans="1:20" ht="15.95" hidden="1" customHeight="1" x14ac:dyDescent="0.15">
      <c r="L198" s="201"/>
      <c r="M198" s="191"/>
    </row>
    <row r="199" spans="1:20" s="193" customFormat="1" ht="15.95" hidden="1" customHeight="1" x14ac:dyDescent="0.15">
      <c r="A199" s="201"/>
      <c r="B199" s="473" t="s">
        <v>874</v>
      </c>
      <c r="C199" s="193" t="s">
        <v>4</v>
      </c>
      <c r="D199" s="215">
        <f>D191/(D195)</f>
        <v>4.1357881878947227E-2</v>
      </c>
      <c r="E199" s="216" t="str">
        <f>IF(D199&gt;F199,"&gt;","&lt;")</f>
        <v>&lt;</v>
      </c>
      <c r="F199" s="217">
        <v>1</v>
      </c>
      <c r="G199" s="218" t="str">
        <f>IF(D199&lt;F199,"O.K.","N.G.")</f>
        <v>O.K.</v>
      </c>
      <c r="H199" s="192"/>
      <c r="I199" s="192"/>
      <c r="J199" s="192"/>
      <c r="K199" s="192"/>
      <c r="L199" s="192"/>
      <c r="N199" s="191"/>
      <c r="O199" s="191"/>
      <c r="P199" s="191"/>
      <c r="Q199" s="191"/>
      <c r="R199" s="191"/>
      <c r="S199" s="191"/>
      <c r="T199" s="191"/>
    </row>
    <row r="200" spans="1:20" ht="15.95" hidden="1" customHeight="1" x14ac:dyDescent="0.15">
      <c r="L200" s="201"/>
      <c r="M200" s="191"/>
    </row>
    <row r="201" spans="1:20" ht="15.95" hidden="1" customHeight="1" x14ac:dyDescent="0.15">
      <c r="L201" s="201"/>
      <c r="M201" s="191"/>
    </row>
    <row r="202" spans="1:20" s="201" customFormat="1" ht="15.95" hidden="1" customHeight="1" x14ac:dyDescent="0.15">
      <c r="A202" s="192"/>
      <c r="B202" s="201" t="s">
        <v>628</v>
      </c>
      <c r="C202" s="192"/>
      <c r="D202" s="192"/>
      <c r="E202" s="192"/>
      <c r="F202" s="192"/>
      <c r="G202" s="192"/>
      <c r="H202" s="192"/>
      <c r="I202" s="192"/>
      <c r="J202" s="192"/>
      <c r="K202" s="192"/>
      <c r="L202" s="192"/>
      <c r="M202" s="284"/>
      <c r="N202" s="284"/>
      <c r="O202" s="285"/>
    </row>
    <row r="203" spans="1:20" ht="15.95" hidden="1" customHeight="1" x14ac:dyDescent="0.15">
      <c r="L203" s="201"/>
      <c r="M203" s="191"/>
    </row>
    <row r="204" spans="1:20" ht="15.95" hidden="1" customHeight="1" x14ac:dyDescent="0.15">
      <c r="B204" s="214" t="s">
        <v>147</v>
      </c>
      <c r="M204" s="191"/>
    </row>
    <row r="205" spans="1:20" ht="15.95" hidden="1" customHeight="1" x14ac:dyDescent="0.15">
      <c r="B205" s="214"/>
      <c r="M205" s="191"/>
    </row>
    <row r="206" spans="1:20" ht="15.95" hidden="1" customHeight="1" x14ac:dyDescent="0.15">
      <c r="B206" s="473" t="s">
        <v>867</v>
      </c>
      <c r="C206" s="193" t="s">
        <v>4</v>
      </c>
      <c r="D206" s="191">
        <f>D15</f>
        <v>0</v>
      </c>
      <c r="E206" s="191" t="s">
        <v>458</v>
      </c>
      <c r="M206" s="191"/>
    </row>
    <row r="207" spans="1:20" ht="15.95" hidden="1" customHeight="1" x14ac:dyDescent="0.15">
      <c r="B207" s="210"/>
      <c r="C207" s="215"/>
      <c r="D207" s="258"/>
      <c r="M207" s="191"/>
    </row>
    <row r="208" spans="1:20" ht="15.95" hidden="1" customHeight="1" x14ac:dyDescent="0.15">
      <c r="L208" s="201"/>
      <c r="M208" s="191"/>
    </row>
    <row r="209" spans="1:20" ht="15.95" hidden="1" customHeight="1" x14ac:dyDescent="0.15">
      <c r="B209" s="214" t="s">
        <v>146</v>
      </c>
      <c r="E209" s="191" t="s">
        <v>150</v>
      </c>
      <c r="M209" s="191"/>
    </row>
    <row r="210" spans="1:20" ht="15.95" hidden="1" customHeight="1" x14ac:dyDescent="0.15">
      <c r="B210" s="214"/>
      <c r="M210" s="191"/>
    </row>
    <row r="211" spans="1:20" ht="15.95" hidden="1" customHeight="1" x14ac:dyDescent="0.15">
      <c r="B211" s="473" t="s">
        <v>2</v>
      </c>
      <c r="C211" s="193" t="s">
        <v>4</v>
      </c>
      <c r="D211" s="227">
        <f>D9</f>
        <v>1500</v>
      </c>
      <c r="E211" s="191" t="str">
        <f>IF(D211&gt;4110,"mm      &gt;     4110 mm","mm     ≤     4110 mm")</f>
        <v>mm     ≤     4110 mm</v>
      </c>
      <c r="L211" s="210" t="s">
        <v>151</v>
      </c>
      <c r="M211" s="254">
        <f>D211/240+6.35</f>
        <v>12.6</v>
      </c>
    </row>
    <row r="212" spans="1:20" ht="15.95" hidden="1" customHeight="1" x14ac:dyDescent="0.15">
      <c r="B212" s="473" t="s">
        <v>870</v>
      </c>
      <c r="C212" s="193" t="s">
        <v>4</v>
      </c>
      <c r="D212" s="198">
        <f>D211</f>
        <v>1500</v>
      </c>
      <c r="E212" s="209" t="str">
        <f>IF(D211&lt;4110,"mm      /     175 ","mm      /      240 + 6.35 mm ")</f>
        <v xml:space="preserve">mm      /     175 </v>
      </c>
      <c r="L212" s="210" t="s">
        <v>152</v>
      </c>
      <c r="M212" s="254">
        <f>D211/175</f>
        <v>8.5714285714285712</v>
      </c>
    </row>
    <row r="213" spans="1:20" ht="15.95" hidden="1" customHeight="1" x14ac:dyDescent="0.15">
      <c r="B213" s="286"/>
      <c r="C213" s="193" t="s">
        <v>4</v>
      </c>
      <c r="D213" s="215">
        <f>IF(D211&lt;4110,M212,M211)</f>
        <v>8.5714285714285712</v>
      </c>
      <c r="E213" s="191" t="s">
        <v>458</v>
      </c>
      <c r="M213" s="191"/>
    </row>
    <row r="214" spans="1:20" ht="15.95" hidden="1" customHeight="1" x14ac:dyDescent="0.15">
      <c r="C214" s="215"/>
      <c r="D214" s="231"/>
      <c r="M214" s="191"/>
    </row>
    <row r="215" spans="1:20" ht="15.95" hidden="1" customHeight="1" x14ac:dyDescent="0.15">
      <c r="M215" s="191"/>
    </row>
    <row r="216" spans="1:20" ht="15.95" hidden="1" customHeight="1" x14ac:dyDescent="0.15">
      <c r="B216" s="214" t="s">
        <v>153</v>
      </c>
      <c r="M216" s="191"/>
    </row>
    <row r="217" spans="1:20" s="193" customFormat="1" ht="15.95" hidden="1" customHeight="1" x14ac:dyDescent="0.15">
      <c r="A217" s="192"/>
      <c r="C217" s="192"/>
      <c r="D217" s="192"/>
      <c r="E217" s="192"/>
      <c r="F217" s="192"/>
      <c r="G217" s="192"/>
      <c r="H217" s="192"/>
      <c r="I217" s="192"/>
      <c r="J217" s="192"/>
      <c r="K217" s="192"/>
      <c r="L217" s="192"/>
      <c r="N217" s="191"/>
      <c r="O217" s="191"/>
      <c r="P217" s="191"/>
      <c r="Q217" s="191"/>
      <c r="R217" s="191"/>
      <c r="S217" s="191"/>
      <c r="T217" s="191"/>
    </row>
    <row r="218" spans="1:20" s="193" customFormat="1" ht="15.95" hidden="1" customHeight="1" x14ac:dyDescent="0.15">
      <c r="A218" s="201"/>
      <c r="B218" s="473" t="s">
        <v>874</v>
      </c>
      <c r="C218" s="193" t="s">
        <v>4</v>
      </c>
      <c r="D218" s="215">
        <f>D206/(D213)</f>
        <v>0</v>
      </c>
      <c r="E218" s="216" t="str">
        <f>IF(D218&gt;F218,"&gt;","&lt;")</f>
        <v>&lt;</v>
      </c>
      <c r="F218" s="217">
        <v>1</v>
      </c>
      <c r="G218" s="218" t="str">
        <f>IF(D218&lt;F218,"O.K.","N.G.")</f>
        <v>O.K.</v>
      </c>
      <c r="H218" s="192"/>
      <c r="I218" s="192"/>
      <c r="J218" s="192"/>
      <c r="K218" s="192"/>
      <c r="L218" s="192"/>
      <c r="N218" s="191"/>
      <c r="O218" s="191"/>
      <c r="P218" s="191"/>
      <c r="Q218" s="191"/>
      <c r="R218" s="191"/>
      <c r="S218" s="191"/>
      <c r="T218" s="191"/>
    </row>
    <row r="219" spans="1:20" s="193" customFormat="1" ht="15.95" hidden="1" customHeight="1" x14ac:dyDescent="0.15">
      <c r="A219" s="192"/>
      <c r="B219" s="192"/>
      <c r="C219" s="192"/>
      <c r="D219" s="192"/>
      <c r="E219" s="192"/>
      <c r="F219" s="192"/>
      <c r="G219" s="192"/>
      <c r="H219" s="192"/>
      <c r="I219" s="192"/>
      <c r="J219" s="192"/>
      <c r="K219" s="192"/>
      <c r="L219" s="192"/>
      <c r="N219" s="191"/>
      <c r="O219" s="191"/>
      <c r="P219" s="191"/>
      <c r="Q219" s="191"/>
      <c r="R219" s="191"/>
      <c r="S219" s="191"/>
      <c r="T219" s="191"/>
    </row>
    <row r="224" spans="1:20" ht="15.95" customHeight="1" x14ac:dyDescent="0.15"/>
    <row r="225" spans="11:25" ht="15.95" customHeight="1" x14ac:dyDescent="0.15"/>
    <row r="226" spans="11:25" ht="15.95" customHeight="1" x14ac:dyDescent="0.15"/>
    <row r="227" spans="11:25" ht="15.95" customHeight="1" x14ac:dyDescent="0.15"/>
    <row r="228" spans="11:25" ht="15.95" customHeight="1" x14ac:dyDescent="0.15"/>
    <row r="229" spans="11:25" ht="15.95" customHeight="1" x14ac:dyDescent="0.15"/>
    <row r="230" spans="11:25" ht="15.95" customHeight="1" x14ac:dyDescent="0.15">
      <c r="K230" s="191" t="s">
        <v>597</v>
      </c>
    </row>
    <row r="231" spans="11:25" ht="15.95" customHeight="1" x14ac:dyDescent="0.15"/>
    <row r="232" spans="11:25" ht="15.95" customHeight="1" x14ac:dyDescent="0.15">
      <c r="V232" s="222"/>
      <c r="W232" s="222"/>
      <c r="X232" s="222"/>
      <c r="Y232" s="222"/>
    </row>
    <row r="233" spans="11:25" ht="15.95" customHeight="1" x14ac:dyDescent="0.15">
      <c r="V233" s="193"/>
      <c r="W233" s="193"/>
      <c r="X233" s="193"/>
      <c r="Y233" s="193"/>
    </row>
    <row r="234" spans="11:25" ht="159.94999999999999" customHeight="1" x14ac:dyDescent="0.15"/>
    <row r="235" spans="11:25" ht="15.95" customHeight="1" x14ac:dyDescent="0.15"/>
    <row r="236" spans="11:25" ht="15.95" customHeight="1" x14ac:dyDescent="0.15"/>
    <row r="237" spans="11:25" ht="15.95" customHeight="1" x14ac:dyDescent="0.15"/>
    <row r="238" spans="11:25" ht="15.95" customHeight="1" x14ac:dyDescent="0.15"/>
    <row r="239" spans="11:25" ht="15.95" customHeight="1" x14ac:dyDescent="0.15"/>
    <row r="240" spans="11:25" ht="15.95" customHeight="1" x14ac:dyDescent="0.15"/>
    <row r="241" ht="15.95" customHeight="1" x14ac:dyDescent="0.15"/>
    <row r="242" ht="15.95" customHeight="1" x14ac:dyDescent="0.15"/>
    <row r="243" ht="15.95" customHeight="1" x14ac:dyDescent="0.15"/>
    <row r="244" ht="15.95" customHeight="1" x14ac:dyDescent="0.15"/>
    <row r="245" ht="15.95" customHeight="1" x14ac:dyDescent="0.15"/>
    <row r="246" ht="15.95" customHeight="1" x14ac:dyDescent="0.15"/>
    <row r="247" ht="15.95" customHeight="1" x14ac:dyDescent="0.15"/>
    <row r="248" ht="15.95" customHeight="1" x14ac:dyDescent="0.15"/>
    <row r="249" ht="15.95" customHeight="1" x14ac:dyDescent="0.15"/>
    <row r="250" ht="15.95" customHeight="1" x14ac:dyDescent="0.15"/>
    <row r="251" ht="15.95" customHeight="1" x14ac:dyDescent="0.15"/>
    <row r="252" ht="15.95" customHeight="1" x14ac:dyDescent="0.15"/>
    <row r="253" ht="15.95" customHeight="1" x14ac:dyDescent="0.15"/>
    <row r="254" ht="15.95" customHeight="1" x14ac:dyDescent="0.15"/>
    <row r="255" ht="15.95" customHeight="1" x14ac:dyDescent="0.15"/>
    <row r="256" ht="15.95" customHeight="1" x14ac:dyDescent="0.15"/>
    <row r="257" ht="15.95" customHeight="1" x14ac:dyDescent="0.15"/>
    <row r="258" ht="15.95" customHeight="1" x14ac:dyDescent="0.15"/>
  </sheetData>
  <sheetProtection algorithmName="SHA-512" hashValue="fKqMahOxRgj8OAnrHABrjF54OAtSkkPF+BnbtPDpCduRKPbABIdpeRfky6GmQp5oikbGYELmmtWRDVlKyPIMNg==" saltValue="itc1cDXQA4P45ANbbCLOcw==" spinCount="100000" sheet="1" objects="1" scenarios="1" selectLockedCells="1"/>
  <mergeCells count="11">
    <mergeCell ref="L5:M5"/>
    <mergeCell ref="M32:N32"/>
    <mergeCell ref="B61:D61"/>
    <mergeCell ref="G61:H61"/>
    <mergeCell ref="G99:I110"/>
    <mergeCell ref="H19:I19"/>
    <mergeCell ref="B29:C29"/>
    <mergeCell ref="F29:G29"/>
    <mergeCell ref="B30:B32"/>
    <mergeCell ref="D32:E32"/>
    <mergeCell ref="A46:K46"/>
  </mergeCells>
  <phoneticPr fontId="2" type="noConversion"/>
  <conditionalFormatting sqref="B112:E113">
    <cfRule type="expression" dxfId="5" priority="2">
      <formula>$Q$111=$N$111</formula>
    </cfRule>
  </conditionalFormatting>
  <conditionalFormatting sqref="G112:J113">
    <cfRule type="expression" dxfId="4" priority="1">
      <formula>$Q$113=$N$113</formula>
    </cfRule>
  </conditionalFormatting>
  <dataValidations count="1">
    <dataValidation type="list" allowBlank="1" showInputMessage="1" showErrorMessage="1" sqref="H20" xr:uid="{45CE6D2F-50D6-4F7C-9F95-F4A644D5BA65}">
      <formula1>$M$33:$M$34</formula1>
    </dataValidation>
  </dataValidations>
  <printOptions horizontalCentered="1"/>
  <pageMargins left="0.51181102362204722" right="0.51181102362204722" top="0.78740157480314965" bottom="0.59055118110236227" header="0.39370078740157483" footer="0.39370078740157483"/>
  <pageSetup paperSize="9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3">
    <tabColor rgb="FFC00000"/>
  </sheetPr>
  <dimension ref="A1:U139"/>
  <sheetViews>
    <sheetView view="pageBreakPreview" zoomScale="75" zoomScaleNormal="100" zoomScaleSheetLayoutView="75" workbookViewId="0">
      <selection activeCell="M1" sqref="M1"/>
    </sheetView>
  </sheetViews>
  <sheetFormatPr defaultRowHeight="15.95" customHeight="1" x14ac:dyDescent="0.15"/>
  <cols>
    <col min="1" max="1" width="2.77734375" style="24" customWidth="1"/>
    <col min="2" max="2" width="7.33203125" style="24" customWidth="1"/>
    <col min="3" max="3" width="5.33203125" style="24" customWidth="1"/>
    <col min="4" max="4" width="9.33203125" style="24" customWidth="1"/>
    <col min="5" max="5" width="5.33203125" style="24" customWidth="1"/>
    <col min="6" max="6" width="9.33203125" style="24" customWidth="1"/>
    <col min="7" max="8" width="7.33203125" style="24" customWidth="1"/>
    <col min="9" max="9" width="5.33203125" style="24" customWidth="1"/>
    <col min="10" max="10" width="9.33203125" style="24" customWidth="1"/>
    <col min="11" max="11" width="7.33203125" style="24" customWidth="1"/>
    <col min="12" max="12" width="2.77734375" style="24" customWidth="1"/>
    <col min="13" max="13" width="6.77734375" style="24" customWidth="1"/>
    <col min="14" max="14" width="9.77734375" style="24" customWidth="1"/>
    <col min="15" max="15" width="8.77734375" style="24" customWidth="1"/>
    <col min="16" max="16" width="9.77734375" style="24" customWidth="1"/>
    <col min="17" max="17" width="6.77734375" style="24" customWidth="1"/>
    <col min="18" max="18" width="8.77734375" style="24" customWidth="1"/>
    <col min="19" max="20" width="6.77734375" style="24" customWidth="1"/>
    <col min="21" max="21" width="9.77734375" style="24" customWidth="1"/>
    <col min="22" max="16384" width="8.88671875" style="24"/>
  </cols>
  <sheetData>
    <row r="1" spans="1:17" ht="15.95" customHeight="1" x14ac:dyDescent="0.15">
      <c r="A1" s="76" t="s">
        <v>366</v>
      </c>
      <c r="M1" s="577">
        <v>1</v>
      </c>
    </row>
    <row r="2" spans="1:17" ht="15.95" customHeight="1" x14ac:dyDescent="0.15">
      <c r="M2" s="186">
        <v>1</v>
      </c>
      <c r="N2" s="348">
        <v>210000</v>
      </c>
      <c r="O2" s="349" t="s">
        <v>883</v>
      </c>
      <c r="P2" s="335"/>
    </row>
    <row r="3" spans="1:17" ht="15.95" customHeight="1" x14ac:dyDescent="0.15">
      <c r="B3" s="77" t="s">
        <v>58</v>
      </c>
      <c r="M3" s="186">
        <v>2</v>
      </c>
      <c r="N3" s="348">
        <v>193000</v>
      </c>
      <c r="O3" s="349" t="s">
        <v>884</v>
      </c>
      <c r="P3" s="335"/>
    </row>
    <row r="5" spans="1:17" ht="15.95" customHeight="1" x14ac:dyDescent="0.15">
      <c r="B5" s="78" t="s">
        <v>59</v>
      </c>
      <c r="C5" s="20" t="s">
        <v>4</v>
      </c>
      <c r="D5" s="182">
        <f>(SUMPRODUCT((N8:N10=N7)*(O7:P7=M7),O8:P10))</f>
        <v>0</v>
      </c>
      <c r="E5" s="43" t="s">
        <v>456</v>
      </c>
      <c r="H5" s="36" t="s">
        <v>69</v>
      </c>
      <c r="J5" s="49"/>
      <c r="M5" s="38"/>
      <c r="P5" s="12"/>
      <c r="Q5" s="12"/>
    </row>
    <row r="6" spans="1:17" ht="15.95" customHeight="1" x14ac:dyDescent="0.15">
      <c r="B6" s="78" t="s">
        <v>67</v>
      </c>
      <c r="C6" s="20" t="s">
        <v>4</v>
      </c>
      <c r="D6" s="167">
        <f>IF(M1=M2,N2,N3)</f>
        <v>210000</v>
      </c>
      <c r="E6" s="43" t="s">
        <v>457</v>
      </c>
      <c r="H6" s="36" t="str">
        <f>IF(M1=M2,O2,O3)</f>
        <v>( Modulus of Elasticity , SS 275 )</v>
      </c>
      <c r="I6" s="43"/>
      <c r="M6" s="694" t="s">
        <v>543</v>
      </c>
      <c r="N6" s="694"/>
      <c r="O6" s="188"/>
      <c r="P6" s="189"/>
    </row>
    <row r="7" spans="1:17" ht="15.95" customHeight="1" x14ac:dyDescent="0.15">
      <c r="B7" s="78" t="s">
        <v>60</v>
      </c>
      <c r="C7" s="20" t="s">
        <v>4</v>
      </c>
      <c r="D7" s="560">
        <v>1200</v>
      </c>
      <c r="E7" s="43" t="s">
        <v>458</v>
      </c>
      <c r="H7" s="36" t="s">
        <v>70</v>
      </c>
      <c r="M7" s="562" t="s">
        <v>541</v>
      </c>
      <c r="N7" s="563">
        <v>1</v>
      </c>
      <c r="O7" s="185" t="s">
        <v>541</v>
      </c>
      <c r="P7" s="185" t="s">
        <v>542</v>
      </c>
    </row>
    <row r="8" spans="1:17" ht="15.95" customHeight="1" x14ac:dyDescent="0.15">
      <c r="B8" s="78" t="s">
        <v>61</v>
      </c>
      <c r="C8" s="20" t="s">
        <v>4</v>
      </c>
      <c r="D8" s="560">
        <v>1500</v>
      </c>
      <c r="E8" s="43" t="s">
        <v>458</v>
      </c>
      <c r="H8" s="36" t="s">
        <v>71</v>
      </c>
      <c r="M8" s="190" t="s">
        <v>453</v>
      </c>
      <c r="N8" s="186">
        <v>1</v>
      </c>
      <c r="O8" s="187" t="str">
        <f>풍하중!T8</f>
        <v>-</v>
      </c>
      <c r="P8" s="187">
        <f>풍하중!U8</f>
        <v>1.52</v>
      </c>
    </row>
    <row r="9" spans="1:17" ht="15.95" customHeight="1" x14ac:dyDescent="0.15">
      <c r="B9" s="80" t="s">
        <v>392</v>
      </c>
      <c r="C9" s="20" t="s">
        <v>4</v>
      </c>
      <c r="D9" s="560">
        <v>5000</v>
      </c>
      <c r="E9" s="43" t="s">
        <v>458</v>
      </c>
      <c r="H9" s="36" t="s">
        <v>401</v>
      </c>
      <c r="J9" s="43"/>
      <c r="M9" s="190" t="s">
        <v>454</v>
      </c>
      <c r="N9" s="186">
        <v>2</v>
      </c>
      <c r="O9" s="187" t="str">
        <f>풍하중!T9</f>
        <v>-</v>
      </c>
      <c r="P9" s="187">
        <f>풍하중!U9</f>
        <v>-1.1619999999999999</v>
      </c>
    </row>
    <row r="10" spans="1:17" ht="15.95" customHeight="1" x14ac:dyDescent="0.15">
      <c r="B10" s="80" t="s">
        <v>393</v>
      </c>
      <c r="C10" s="20" t="s">
        <v>4</v>
      </c>
      <c r="D10" s="560">
        <v>2600</v>
      </c>
      <c r="E10" s="43" t="s">
        <v>458</v>
      </c>
      <c r="H10" s="36" t="s">
        <v>72</v>
      </c>
      <c r="M10" s="190" t="s">
        <v>455</v>
      </c>
      <c r="N10" s="186">
        <v>3</v>
      </c>
      <c r="O10" s="187" t="str">
        <f>풍하중!T10</f>
        <v>-</v>
      </c>
      <c r="P10" s="187">
        <f>풍하중!U10</f>
        <v>-1.39</v>
      </c>
    </row>
    <row r="12" spans="1:17" ht="15.95" customHeight="1" x14ac:dyDescent="0.15">
      <c r="M12" s="165"/>
      <c r="N12" s="698"/>
      <c r="O12" s="698"/>
    </row>
    <row r="13" spans="1:17" ht="15.95" customHeight="1" x14ac:dyDescent="0.15">
      <c r="M13" s="165"/>
      <c r="N13" s="698"/>
      <c r="O13" s="698"/>
    </row>
    <row r="14" spans="1:17" ht="15.95" customHeight="1" x14ac:dyDescent="0.15">
      <c r="B14" s="36" t="s">
        <v>65</v>
      </c>
      <c r="C14" s="20" t="s">
        <v>4</v>
      </c>
      <c r="D14" s="172">
        <f>D84</f>
        <v>0</v>
      </c>
      <c r="E14" s="43" t="s">
        <v>514</v>
      </c>
      <c r="F14" s="36"/>
      <c r="H14" s="162" t="s">
        <v>66</v>
      </c>
      <c r="I14" s="20" t="s">
        <v>4</v>
      </c>
      <c r="J14" s="108">
        <f>D119</f>
        <v>0</v>
      </c>
      <c r="K14" s="83" t="str">
        <f>IF(J14&lt;1,"O.K","N.G")</f>
        <v>O.K</v>
      </c>
      <c r="N14" s="29"/>
    </row>
    <row r="16" spans="1:17" ht="15.95" customHeight="1" x14ac:dyDescent="0.15">
      <c r="B16" s="36" t="s">
        <v>120</v>
      </c>
      <c r="C16" s="20" t="s">
        <v>4</v>
      </c>
      <c r="D16" s="79">
        <f>D87</f>
        <v>0</v>
      </c>
      <c r="E16" s="43" t="s">
        <v>458</v>
      </c>
      <c r="F16" s="36"/>
    </row>
    <row r="17" spans="2:12" ht="15.95" customHeight="1" x14ac:dyDescent="0.15">
      <c r="B17" s="36" t="s">
        <v>484</v>
      </c>
      <c r="C17" s="20" t="s">
        <v>4</v>
      </c>
      <c r="D17" s="79">
        <f>D133</f>
        <v>27.18333333333333</v>
      </c>
      <c r="E17" s="43" t="s">
        <v>458</v>
      </c>
      <c r="H17" s="80" t="s">
        <v>68</v>
      </c>
      <c r="I17" s="20" t="s">
        <v>4</v>
      </c>
      <c r="J17" s="108">
        <f>D138</f>
        <v>0</v>
      </c>
      <c r="K17" s="83" t="str">
        <f>IF(J17&lt;1,"O.K","N.G")</f>
        <v>O.K</v>
      </c>
    </row>
    <row r="19" spans="2:12" ht="15.95" customHeight="1" x14ac:dyDescent="0.15">
      <c r="B19" s="78"/>
      <c r="C19" s="82"/>
      <c r="D19" s="20"/>
    </row>
    <row r="20" spans="2:12" ht="15.95" customHeight="1" x14ac:dyDescent="0.15">
      <c r="B20" s="77" t="s">
        <v>78</v>
      </c>
      <c r="E20" s="49"/>
    </row>
    <row r="21" spans="2:12" ht="15.95" customHeight="1" thickBot="1" x14ac:dyDescent="0.2">
      <c r="K21" s="81"/>
      <c r="L21" s="81"/>
    </row>
    <row r="22" spans="2:12" ht="15.95" customHeight="1" x14ac:dyDescent="0.15">
      <c r="B22" s="739"/>
      <c r="C22" s="696"/>
      <c r="D22" s="696"/>
      <c r="E22" s="697"/>
      <c r="F22" s="47"/>
      <c r="G22" s="138"/>
      <c r="H22" s="139"/>
      <c r="I22" s="139"/>
      <c r="J22" s="139"/>
      <c r="K22" s="140"/>
    </row>
    <row r="23" spans="2:12" ht="15.95" customHeight="1" x14ac:dyDescent="0.15">
      <c r="B23" s="740"/>
      <c r="C23" s="698"/>
      <c r="D23" s="698"/>
      <c r="E23" s="699"/>
      <c r="F23" s="47"/>
      <c r="G23" s="91"/>
      <c r="K23" s="110"/>
    </row>
    <row r="24" spans="2:12" ht="15.95" customHeight="1" x14ac:dyDescent="0.15">
      <c r="B24" s="740"/>
      <c r="C24" s="698"/>
      <c r="D24" s="698"/>
      <c r="E24" s="699"/>
      <c r="F24" s="47"/>
      <c r="G24" s="91"/>
      <c r="K24" s="110"/>
    </row>
    <row r="25" spans="2:12" ht="15.95" customHeight="1" x14ac:dyDescent="0.15">
      <c r="B25" s="740"/>
      <c r="C25" s="698"/>
      <c r="D25" s="698"/>
      <c r="E25" s="699"/>
      <c r="F25" s="47"/>
      <c r="G25" s="91"/>
      <c r="K25" s="110"/>
    </row>
    <row r="26" spans="2:12" ht="15.95" customHeight="1" x14ac:dyDescent="0.15">
      <c r="B26" s="740"/>
      <c r="C26" s="698"/>
      <c r="D26" s="698"/>
      <c r="E26" s="699"/>
      <c r="F26" s="47"/>
      <c r="G26" s="91"/>
      <c r="K26" s="110"/>
    </row>
    <row r="27" spans="2:12" ht="15.95" customHeight="1" x14ac:dyDescent="0.15">
      <c r="B27" s="740"/>
      <c r="C27" s="698"/>
      <c r="D27" s="698"/>
      <c r="E27" s="699"/>
      <c r="F27" s="47"/>
      <c r="G27" s="91"/>
      <c r="K27" s="110"/>
    </row>
    <row r="28" spans="2:12" ht="15.95" customHeight="1" x14ac:dyDescent="0.15">
      <c r="B28" s="740"/>
      <c r="C28" s="698"/>
      <c r="D28" s="698"/>
      <c r="E28" s="699"/>
      <c r="F28" s="47"/>
      <c r="G28" s="91"/>
      <c r="K28" s="110"/>
    </row>
    <row r="29" spans="2:12" ht="15.95" customHeight="1" x14ac:dyDescent="0.15">
      <c r="B29" s="740"/>
      <c r="C29" s="698"/>
      <c r="D29" s="698"/>
      <c r="E29" s="699"/>
      <c r="F29" s="47"/>
      <c r="G29" s="91"/>
      <c r="K29" s="110"/>
    </row>
    <row r="30" spans="2:12" ht="15.95" customHeight="1" x14ac:dyDescent="0.15">
      <c r="B30" s="740"/>
      <c r="C30" s="698"/>
      <c r="D30" s="698"/>
      <c r="E30" s="699"/>
      <c r="F30" s="47"/>
      <c r="G30" s="91"/>
      <c r="K30" s="110"/>
    </row>
    <row r="31" spans="2:12" ht="15.95" customHeight="1" x14ac:dyDescent="0.15">
      <c r="B31" s="740"/>
      <c r="C31" s="698"/>
      <c r="D31" s="698"/>
      <c r="E31" s="699"/>
      <c r="F31" s="47"/>
      <c r="G31" s="91"/>
      <c r="K31" s="110"/>
    </row>
    <row r="32" spans="2:12" ht="15.95" customHeight="1" x14ac:dyDescent="0.15">
      <c r="B32" s="740"/>
      <c r="C32" s="698"/>
      <c r="D32" s="698"/>
      <c r="E32" s="699"/>
      <c r="F32" s="47"/>
      <c r="G32" s="91"/>
      <c r="K32" s="110"/>
    </row>
    <row r="33" spans="1:21" ht="15.95" customHeight="1" x14ac:dyDescent="0.15">
      <c r="B33" s="111" t="str">
        <f>CONCATENATE("  * T - ",D35," × ",D36," × ",D37," / ",D38)</f>
        <v xml:space="preserve">  * T - 150 × 60 × 10 / 10</v>
      </c>
      <c r="E33" s="110"/>
      <c r="F33" s="47"/>
      <c r="G33" s="91"/>
      <c r="K33" s="110"/>
    </row>
    <row r="34" spans="1:21" ht="15.95" customHeight="1" x14ac:dyDescent="0.15">
      <c r="B34" s="91"/>
      <c r="E34" s="110"/>
      <c r="F34" s="47"/>
      <c r="G34" s="91"/>
      <c r="K34" s="110"/>
    </row>
    <row r="35" spans="1:21" ht="15.95" customHeight="1" x14ac:dyDescent="0.15">
      <c r="B35" s="71" t="s">
        <v>73</v>
      </c>
      <c r="C35" s="20" t="s">
        <v>4</v>
      </c>
      <c r="D35" s="565">
        <v>150</v>
      </c>
      <c r="E35" s="86" t="s">
        <v>496</v>
      </c>
      <c r="F35" s="47"/>
      <c r="G35" s="91"/>
      <c r="K35" s="110"/>
    </row>
    <row r="36" spans="1:21" ht="15.95" customHeight="1" x14ac:dyDescent="0.15">
      <c r="B36" s="71" t="s">
        <v>46</v>
      </c>
      <c r="C36" s="20" t="s">
        <v>4</v>
      </c>
      <c r="D36" s="565">
        <v>60</v>
      </c>
      <c r="E36" s="86" t="s">
        <v>496</v>
      </c>
      <c r="F36" s="47"/>
      <c r="G36" s="91"/>
      <c r="K36" s="110"/>
    </row>
    <row r="37" spans="1:21" ht="15.95" customHeight="1" x14ac:dyDescent="0.15">
      <c r="B37" s="71" t="s">
        <v>74</v>
      </c>
      <c r="C37" s="20" t="s">
        <v>4</v>
      </c>
      <c r="D37" s="565">
        <v>10</v>
      </c>
      <c r="E37" s="86" t="s">
        <v>496</v>
      </c>
      <c r="F37" s="47"/>
      <c r="G37" s="91"/>
      <c r="K37" s="110"/>
    </row>
    <row r="38" spans="1:21" ht="15.95" customHeight="1" x14ac:dyDescent="0.15">
      <c r="B38" s="71" t="s">
        <v>75</v>
      </c>
      <c r="C38" s="20" t="s">
        <v>4</v>
      </c>
      <c r="D38" s="565">
        <v>10</v>
      </c>
      <c r="E38" s="86" t="s">
        <v>496</v>
      </c>
      <c r="F38" s="47"/>
      <c r="G38" s="91"/>
      <c r="K38" s="110"/>
    </row>
    <row r="39" spans="1:21" ht="15.95" customHeight="1" x14ac:dyDescent="0.15">
      <c r="B39" s="71" t="s">
        <v>76</v>
      </c>
      <c r="C39" s="20" t="s">
        <v>4</v>
      </c>
      <c r="D39" s="23">
        <f>D41-D38</f>
        <v>47.5</v>
      </c>
      <c r="E39" s="86" t="s">
        <v>496</v>
      </c>
      <c r="F39" s="47"/>
      <c r="G39" s="91"/>
      <c r="K39" s="110"/>
      <c r="L39" s="81"/>
    </row>
    <row r="40" spans="1:21" ht="15.95" customHeight="1" x14ac:dyDescent="0.15">
      <c r="B40" s="71" t="s">
        <v>77</v>
      </c>
      <c r="C40" s="20" t="s">
        <v>4</v>
      </c>
      <c r="D40" s="23">
        <f>D36-D37</f>
        <v>50</v>
      </c>
      <c r="E40" s="86" t="s">
        <v>496</v>
      </c>
      <c r="F40" s="47"/>
      <c r="G40" s="91"/>
      <c r="K40" s="110"/>
      <c r="L40" s="81"/>
      <c r="M40" s="81"/>
      <c r="N40" s="112" t="s">
        <v>83</v>
      </c>
      <c r="O40" s="31" t="s">
        <v>4</v>
      </c>
      <c r="P40" s="113">
        <f>D35*D37+D40*D38</f>
        <v>2000</v>
      </c>
      <c r="Q40" s="114" t="s">
        <v>504</v>
      </c>
      <c r="U40" s="44"/>
    </row>
    <row r="41" spans="1:21" ht="15.95" customHeight="1" x14ac:dyDescent="0.15">
      <c r="B41" s="71" t="s">
        <v>364</v>
      </c>
      <c r="C41" s="20" t="s">
        <v>4</v>
      </c>
      <c r="D41" s="23">
        <f>(D37*D35^2+D40*D38^2)/(2*(D37*D35+D40*D38))</f>
        <v>57.5</v>
      </c>
      <c r="E41" s="86" t="s">
        <v>496</v>
      </c>
      <c r="F41" s="47"/>
      <c r="G41" s="91"/>
      <c r="K41" s="110"/>
      <c r="L41" s="81"/>
      <c r="M41" s="81"/>
      <c r="N41" s="112" t="s">
        <v>81</v>
      </c>
      <c r="O41" s="31" t="s">
        <v>4</v>
      </c>
      <c r="P41" s="120" t="s">
        <v>369</v>
      </c>
      <c r="Q41" s="114"/>
      <c r="U41" s="44"/>
    </row>
    <row r="42" spans="1:21" ht="15.95" customHeight="1" x14ac:dyDescent="0.15">
      <c r="B42" s="71" t="s">
        <v>365</v>
      </c>
      <c r="C42" s="20" t="s">
        <v>4</v>
      </c>
      <c r="D42" s="181">
        <f>D35-D41</f>
        <v>92.5</v>
      </c>
      <c r="E42" s="86" t="s">
        <v>496</v>
      </c>
      <c r="F42" s="47"/>
      <c r="G42" s="91"/>
      <c r="K42" s="110"/>
      <c r="L42" s="81"/>
      <c r="M42" s="81"/>
      <c r="N42" s="116"/>
      <c r="O42" s="31" t="s">
        <v>4</v>
      </c>
      <c r="P42" s="117">
        <f>(D35-D38)/D37</f>
        <v>14</v>
      </c>
      <c r="Q42" s="114"/>
      <c r="U42" s="44"/>
    </row>
    <row r="43" spans="1:21" ht="15.95" customHeight="1" x14ac:dyDescent="0.15">
      <c r="B43" s="71" t="s">
        <v>6</v>
      </c>
      <c r="C43" s="20" t="s">
        <v>4</v>
      </c>
      <c r="D43" s="176">
        <f>(D36*D41^3-D40*D39^3+D37*D42^3)/3</f>
        <v>4654166.666666667</v>
      </c>
      <c r="E43" s="86" t="s">
        <v>500</v>
      </c>
      <c r="F43" s="47"/>
      <c r="G43" s="91"/>
      <c r="K43" s="110"/>
      <c r="L43" s="81"/>
      <c r="M43" s="81"/>
      <c r="N43" s="112" t="s">
        <v>82</v>
      </c>
      <c r="O43" s="31" t="s">
        <v>4</v>
      </c>
      <c r="P43" s="120" t="s">
        <v>370</v>
      </c>
      <c r="Q43" s="114"/>
      <c r="U43" s="44"/>
    </row>
    <row r="44" spans="1:21" ht="15.95" customHeight="1" thickBot="1" x14ac:dyDescent="0.2">
      <c r="B44" s="87" t="s">
        <v>38</v>
      </c>
      <c r="C44" s="33" t="s">
        <v>4</v>
      </c>
      <c r="D44" s="183">
        <f>D43/(D42)</f>
        <v>50315.315315315318</v>
      </c>
      <c r="E44" s="88" t="s">
        <v>501</v>
      </c>
      <c r="F44" s="47"/>
      <c r="G44" s="94"/>
      <c r="H44" s="93"/>
      <c r="I44" s="93"/>
      <c r="J44" s="93"/>
      <c r="K44" s="141"/>
      <c r="L44" s="81"/>
      <c r="M44" s="81"/>
      <c r="N44" s="116"/>
      <c r="O44" s="31" t="s">
        <v>4</v>
      </c>
      <c r="P44" s="117">
        <f>(D40/2)/D38</f>
        <v>2.5</v>
      </c>
      <c r="Q44" s="114"/>
      <c r="U44" s="44"/>
    </row>
    <row r="45" spans="1:21" ht="15.95" customHeight="1" x14ac:dyDescent="0.15">
      <c r="B45" s="47"/>
      <c r="C45" s="47"/>
      <c r="D45" s="47"/>
      <c r="E45" s="47"/>
      <c r="F45" s="47"/>
      <c r="L45" s="81"/>
      <c r="U45" s="44"/>
    </row>
    <row r="46" spans="1:21" ht="15.95" customHeight="1" x14ac:dyDescent="0.15">
      <c r="B46" s="708" t="s">
        <v>1000</v>
      </c>
      <c r="C46" s="708"/>
      <c r="D46" s="708"/>
      <c r="E46" s="708"/>
      <c r="F46" s="708"/>
      <c r="G46" s="708"/>
      <c r="H46" s="708"/>
      <c r="I46" s="708"/>
      <c r="J46" s="708"/>
      <c r="K46" s="708"/>
      <c r="L46" s="81"/>
    </row>
    <row r="47" spans="1:21" s="12" customFormat="1" ht="15.95" hidden="1" customHeight="1" x14ac:dyDescent="0.15">
      <c r="A47" s="129"/>
      <c r="B47" s="129" t="s">
        <v>384</v>
      </c>
    </row>
    <row r="48" spans="1:21" s="12" customFormat="1" ht="15.95" hidden="1" customHeight="1" x14ac:dyDescent="0.15"/>
    <row r="49" spans="1:9" s="12" customFormat="1" ht="15.95" hidden="1" customHeight="1" x14ac:dyDescent="0.15">
      <c r="B49" s="130"/>
    </row>
    <row r="50" spans="1:9" s="12" customFormat="1" ht="15.95" hidden="1" customHeight="1" x14ac:dyDescent="0.15">
      <c r="A50" s="131"/>
    </row>
    <row r="51" spans="1:9" s="12" customFormat="1" ht="15.95" hidden="1" customHeight="1" x14ac:dyDescent="0.15">
      <c r="A51" s="131"/>
    </row>
    <row r="52" spans="1:9" s="12" customFormat="1" ht="15.95" hidden="1" customHeight="1" x14ac:dyDescent="0.15">
      <c r="A52" s="131"/>
    </row>
    <row r="53" spans="1:9" s="12" customFormat="1" ht="15.95" hidden="1" customHeight="1" x14ac:dyDescent="0.15">
      <c r="A53" s="131"/>
    </row>
    <row r="54" spans="1:9" s="12" customFormat="1" ht="15.95" hidden="1" customHeight="1" x14ac:dyDescent="0.15">
      <c r="A54" s="131"/>
      <c r="G54" s="36"/>
    </row>
    <row r="55" spans="1:9" s="12" customFormat="1" ht="15.95" hidden="1" customHeight="1" x14ac:dyDescent="0.15">
      <c r="A55" s="131"/>
      <c r="G55" s="98"/>
    </row>
    <row r="56" spans="1:9" s="12" customFormat="1" ht="15.95" hidden="1" customHeight="1" x14ac:dyDescent="0.15">
      <c r="A56" s="131"/>
      <c r="G56" s="36"/>
    </row>
    <row r="57" spans="1:9" s="12" customFormat="1" ht="15.95" hidden="1" customHeight="1" x14ac:dyDescent="0.15">
      <c r="A57" s="131"/>
      <c r="G57" s="36"/>
    </row>
    <row r="58" spans="1:9" s="12" customFormat="1" ht="15.95" hidden="1" customHeight="1" x14ac:dyDescent="0.15">
      <c r="A58" s="131"/>
      <c r="G58" s="36"/>
      <c r="I58" s="131"/>
    </row>
    <row r="59" spans="1:9" s="12" customFormat="1" ht="15.95" hidden="1" customHeight="1" x14ac:dyDescent="0.15">
      <c r="B59" s="24" t="s">
        <v>91</v>
      </c>
      <c r="G59" s="36"/>
    </row>
    <row r="60" spans="1:9" s="12" customFormat="1" ht="15.95" hidden="1" customHeight="1" x14ac:dyDescent="0.15">
      <c r="G60" s="78"/>
    </row>
    <row r="61" spans="1:9" s="12" customFormat="1" ht="15.95" hidden="1" customHeight="1" x14ac:dyDescent="0.15">
      <c r="B61" s="36" t="s">
        <v>85</v>
      </c>
      <c r="C61" s="20" t="s">
        <v>4</v>
      </c>
      <c r="D61" s="36" t="s">
        <v>86</v>
      </c>
      <c r="E61" s="20" t="s">
        <v>4</v>
      </c>
      <c r="F61" s="36" t="s">
        <v>388</v>
      </c>
      <c r="G61" s="20" t="s">
        <v>9</v>
      </c>
      <c r="H61" s="36" t="s">
        <v>101</v>
      </c>
      <c r="I61" s="36"/>
    </row>
    <row r="62" spans="1:9" s="12" customFormat="1" ht="15.95" hidden="1" customHeight="1" x14ac:dyDescent="0.15">
      <c r="B62" s="36" t="s">
        <v>385</v>
      </c>
      <c r="C62" s="20" t="s">
        <v>4</v>
      </c>
      <c r="D62" s="36" t="s">
        <v>389</v>
      </c>
      <c r="E62" s="20" t="s">
        <v>4</v>
      </c>
      <c r="F62" s="36" t="s">
        <v>388</v>
      </c>
      <c r="G62" s="20" t="s">
        <v>9</v>
      </c>
      <c r="H62" s="36" t="s">
        <v>386</v>
      </c>
      <c r="I62" s="36"/>
    </row>
    <row r="63" spans="1:9" s="12" customFormat="1" ht="15.95" hidden="1" customHeight="1" x14ac:dyDescent="0.15">
      <c r="B63" s="36" t="s">
        <v>65</v>
      </c>
      <c r="C63" s="20" t="s">
        <v>4</v>
      </c>
      <c r="D63" s="36" t="s">
        <v>387</v>
      </c>
      <c r="E63" s="36"/>
      <c r="G63" s="20" t="s">
        <v>9</v>
      </c>
      <c r="H63" s="36" t="s">
        <v>102</v>
      </c>
      <c r="I63" s="36"/>
    </row>
    <row r="64" spans="1:9" s="12" customFormat="1" ht="15.95" hidden="1" customHeight="1" x14ac:dyDescent="0.15">
      <c r="B64" s="78" t="s">
        <v>120</v>
      </c>
      <c r="C64" s="20" t="s">
        <v>4</v>
      </c>
      <c r="D64" s="36" t="s">
        <v>390</v>
      </c>
      <c r="E64" s="36"/>
      <c r="G64" s="20" t="s">
        <v>9</v>
      </c>
      <c r="H64" s="36" t="s">
        <v>103</v>
      </c>
      <c r="I64" s="36"/>
    </row>
    <row r="65" spans="1:13" s="12" customFormat="1" ht="15.95" hidden="1" customHeight="1" x14ac:dyDescent="0.15">
      <c r="H65" s="20"/>
      <c r="I65" s="36"/>
    </row>
    <row r="66" spans="1:13" s="12" customFormat="1" ht="15.95" hidden="1" customHeight="1" x14ac:dyDescent="0.15"/>
    <row r="67" spans="1:13" s="12" customFormat="1" ht="15.95" hidden="1" customHeight="1" x14ac:dyDescent="0.15">
      <c r="A67" s="131"/>
      <c r="B67" s="24" t="s">
        <v>92</v>
      </c>
    </row>
    <row r="68" spans="1:13" s="12" customFormat="1" ht="15.95" hidden="1" customHeight="1" x14ac:dyDescent="0.15"/>
    <row r="69" spans="1:13" s="12" customFormat="1" ht="15.95" hidden="1" customHeight="1" x14ac:dyDescent="0.15">
      <c r="B69" s="136" t="s">
        <v>2</v>
      </c>
      <c r="C69" s="27" t="s">
        <v>4</v>
      </c>
      <c r="D69" s="167">
        <f>D9</f>
        <v>5000</v>
      </c>
      <c r="E69" s="12" t="s">
        <v>499</v>
      </c>
      <c r="G69" s="20" t="s">
        <v>9</v>
      </c>
      <c r="H69" s="36" t="s">
        <v>404</v>
      </c>
      <c r="J69" s="36"/>
      <c r="K69" s="36"/>
    </row>
    <row r="70" spans="1:13" s="12" customFormat="1" ht="15.95" hidden="1" customHeight="1" x14ac:dyDescent="0.15">
      <c r="B70" s="137" t="s">
        <v>3</v>
      </c>
      <c r="C70" s="27" t="s">
        <v>4</v>
      </c>
      <c r="D70" s="167">
        <f>(D7+D8)/2</f>
        <v>1350</v>
      </c>
      <c r="E70" s="12" t="s">
        <v>499</v>
      </c>
      <c r="G70" s="20" t="s">
        <v>9</v>
      </c>
      <c r="H70" s="36" t="s">
        <v>391</v>
      </c>
      <c r="J70" s="20"/>
      <c r="K70" s="36"/>
    </row>
    <row r="71" spans="1:13" s="12" customFormat="1" ht="15.95" hidden="1" customHeight="1" x14ac:dyDescent="0.15">
      <c r="B71" s="137" t="s">
        <v>11</v>
      </c>
      <c r="C71" s="27" t="s">
        <v>4</v>
      </c>
      <c r="D71" s="24">
        <f>ABS(D5*D70/10^3)</f>
        <v>0</v>
      </c>
      <c r="E71" s="24" t="s">
        <v>477</v>
      </c>
      <c r="F71" s="130"/>
      <c r="G71" s="20" t="s">
        <v>9</v>
      </c>
      <c r="H71" s="36" t="s">
        <v>382</v>
      </c>
      <c r="J71" s="20"/>
      <c r="K71" s="36"/>
    </row>
    <row r="72" spans="1:13" s="12" customFormat="1" ht="15.95" hidden="1" customHeight="1" x14ac:dyDescent="0.15">
      <c r="B72" s="137" t="s">
        <v>5</v>
      </c>
      <c r="C72" s="27" t="s">
        <v>4</v>
      </c>
      <c r="D72" s="167">
        <f>D6</f>
        <v>210000</v>
      </c>
      <c r="E72" s="43" t="s">
        <v>457</v>
      </c>
      <c r="G72" s="20" t="s">
        <v>9</v>
      </c>
      <c r="H72" s="36" t="s">
        <v>95</v>
      </c>
      <c r="J72" s="20"/>
      <c r="K72" s="36"/>
    </row>
    <row r="73" spans="1:13" s="12" customFormat="1" ht="15.95" hidden="1" customHeight="1" x14ac:dyDescent="0.15">
      <c r="B73" s="137" t="s">
        <v>10</v>
      </c>
      <c r="C73" s="27" t="s">
        <v>4</v>
      </c>
      <c r="D73" s="167">
        <f>D43</f>
        <v>4654166.666666667</v>
      </c>
      <c r="E73" s="12" t="s">
        <v>494</v>
      </c>
      <c r="G73" s="20" t="s">
        <v>9</v>
      </c>
      <c r="H73" s="36" t="s">
        <v>96</v>
      </c>
      <c r="J73" s="20"/>
      <c r="K73" s="36"/>
    </row>
    <row r="74" spans="1:13" s="12" customFormat="1" ht="15.95" hidden="1" customHeight="1" x14ac:dyDescent="0.15">
      <c r="J74" s="20"/>
      <c r="K74" s="36"/>
    </row>
    <row r="75" spans="1:13" s="12" customFormat="1" ht="15.95" hidden="1" customHeight="1" x14ac:dyDescent="0.15">
      <c r="A75" s="25"/>
      <c r="B75" s="24" t="s">
        <v>104</v>
      </c>
      <c r="J75" s="20"/>
      <c r="K75" s="36"/>
    </row>
    <row r="76" spans="1:13" s="12" customFormat="1" ht="15.95" hidden="1" customHeight="1" x14ac:dyDescent="0.15">
      <c r="J76" s="20"/>
      <c r="K76" s="36"/>
      <c r="L76" s="133"/>
      <c r="M76" s="131"/>
    </row>
    <row r="77" spans="1:13" s="12" customFormat="1" ht="15.95" hidden="1" customHeight="1" x14ac:dyDescent="0.15">
      <c r="A77" s="12" t="s">
        <v>1</v>
      </c>
      <c r="B77" s="36" t="s">
        <v>85</v>
      </c>
      <c r="C77" s="27" t="s">
        <v>4</v>
      </c>
      <c r="D77" s="36" t="s">
        <v>388</v>
      </c>
      <c r="G77" s="36"/>
      <c r="K77" s="36"/>
    </row>
    <row r="78" spans="1:13" s="12" customFormat="1" ht="15.95" hidden="1" customHeight="1" x14ac:dyDescent="0.15">
      <c r="B78" s="130"/>
      <c r="C78" s="27" t="s">
        <v>4</v>
      </c>
      <c r="D78" s="172">
        <f>D71*D69/2</f>
        <v>0</v>
      </c>
      <c r="E78" s="24" t="s">
        <v>495</v>
      </c>
      <c r="G78" s="36"/>
      <c r="K78" s="36"/>
    </row>
    <row r="79" spans="1:13" s="12" customFormat="1" ht="15.95" hidden="1" customHeight="1" x14ac:dyDescent="0.15">
      <c r="B79" s="131"/>
      <c r="C79" s="134"/>
      <c r="D79" s="132"/>
      <c r="G79" s="36"/>
      <c r="K79" s="36"/>
    </row>
    <row r="80" spans="1:13" s="12" customFormat="1" ht="15.95" hidden="1" customHeight="1" x14ac:dyDescent="0.15">
      <c r="B80" s="36" t="s">
        <v>385</v>
      </c>
      <c r="C80" s="27" t="s">
        <v>4</v>
      </c>
      <c r="D80" s="36" t="s">
        <v>388</v>
      </c>
      <c r="G80" s="78"/>
      <c r="K80" s="36"/>
    </row>
    <row r="81" spans="2:21" s="12" customFormat="1" ht="15.95" hidden="1" customHeight="1" x14ac:dyDescent="0.15">
      <c r="B81" s="135"/>
      <c r="C81" s="27" t="s">
        <v>4</v>
      </c>
      <c r="D81" s="172">
        <f>D71*D69/2</f>
        <v>0</v>
      </c>
      <c r="E81" s="24" t="s">
        <v>495</v>
      </c>
      <c r="K81" s="36"/>
    </row>
    <row r="82" spans="2:21" s="12" customFormat="1" ht="15.95" hidden="1" customHeight="1" x14ac:dyDescent="0.15">
      <c r="B82" s="135"/>
      <c r="C82" s="134"/>
      <c r="D82" s="30"/>
      <c r="K82" s="36"/>
    </row>
    <row r="83" spans="2:21" s="12" customFormat="1" ht="15.95" hidden="1" customHeight="1" x14ac:dyDescent="0.15">
      <c r="B83" s="36" t="s">
        <v>65</v>
      </c>
      <c r="C83" s="27" t="s">
        <v>4</v>
      </c>
      <c r="D83" s="36" t="s">
        <v>1044</v>
      </c>
      <c r="F83" s="36"/>
      <c r="K83" s="36"/>
      <c r="N83" s="172"/>
      <c r="O83" s="43"/>
    </row>
    <row r="84" spans="2:21" s="12" customFormat="1" ht="15.95" hidden="1" customHeight="1" x14ac:dyDescent="0.15">
      <c r="C84" s="27" t="s">
        <v>4</v>
      </c>
      <c r="D84" s="172">
        <f>0.65*D71*D69^2/8</f>
        <v>0</v>
      </c>
      <c r="E84" s="43" t="s">
        <v>497</v>
      </c>
      <c r="F84" s="36"/>
      <c r="K84" s="36"/>
      <c r="N84" s="334"/>
    </row>
    <row r="85" spans="2:21" s="12" customFormat="1" ht="15.95" hidden="1" customHeight="1" x14ac:dyDescent="0.15">
      <c r="B85" s="135"/>
      <c r="C85" s="134"/>
      <c r="D85" s="30"/>
      <c r="K85" s="36"/>
    </row>
    <row r="86" spans="2:21" s="12" customFormat="1" ht="15.95" hidden="1" customHeight="1" x14ac:dyDescent="0.15">
      <c r="B86" s="78" t="s">
        <v>120</v>
      </c>
      <c r="C86" s="27" t="s">
        <v>4</v>
      </c>
      <c r="D86" s="36" t="s">
        <v>1043</v>
      </c>
      <c r="K86" s="36"/>
      <c r="N86" s="332"/>
      <c r="O86" s="43"/>
    </row>
    <row r="87" spans="2:21" s="12" customFormat="1" ht="15.95" hidden="1" customHeight="1" x14ac:dyDescent="0.15">
      <c r="B87" s="135"/>
      <c r="C87" s="27" t="s">
        <v>4</v>
      </c>
      <c r="D87" s="79">
        <f>0.65*(5*D71*D69^4)/(384*D72*D73)</f>
        <v>0</v>
      </c>
      <c r="E87" s="24" t="s">
        <v>499</v>
      </c>
      <c r="K87" s="36"/>
      <c r="N87" s="334"/>
    </row>
    <row r="88" spans="2:21" ht="15.95" hidden="1" customHeight="1" x14ac:dyDescent="0.15">
      <c r="B88" s="127"/>
      <c r="C88" s="20"/>
      <c r="D88" s="127"/>
      <c r="H88" s="43"/>
      <c r="K88" s="36"/>
    </row>
    <row r="89" spans="2:21" ht="15.95" hidden="1" customHeight="1" x14ac:dyDescent="0.15">
      <c r="C89" s="20"/>
      <c r="D89" s="30"/>
      <c r="E89" s="43"/>
      <c r="K89" s="36"/>
    </row>
    <row r="90" spans="2:21" ht="15.95" hidden="1" customHeight="1" x14ac:dyDescent="0.15">
      <c r="B90" s="128"/>
      <c r="C90" s="20"/>
      <c r="D90" s="127"/>
      <c r="H90" s="43"/>
      <c r="J90" s="43"/>
      <c r="K90" s="36"/>
    </row>
    <row r="91" spans="2:21" ht="15.95" hidden="1" customHeight="1" x14ac:dyDescent="0.15">
      <c r="B91" s="68"/>
      <c r="C91" s="20"/>
      <c r="D91" s="34"/>
      <c r="E91" s="43"/>
      <c r="K91" s="36"/>
    </row>
    <row r="92" spans="2:21" ht="15.95" hidden="1" customHeight="1" x14ac:dyDescent="0.15">
      <c r="B92" s="68"/>
      <c r="C92" s="20"/>
      <c r="K92" s="36"/>
    </row>
    <row r="93" spans="2:21" ht="15.95" hidden="1" customHeight="1" x14ac:dyDescent="0.15">
      <c r="B93" s="77" t="s">
        <v>144</v>
      </c>
    </row>
    <row r="94" spans="2:21" ht="15.95" hidden="1" customHeight="1" x14ac:dyDescent="0.15">
      <c r="B94" s="77"/>
      <c r="D94" s="38"/>
      <c r="O94" s="118"/>
      <c r="Q94" s="118"/>
      <c r="S94" s="118"/>
      <c r="U94" s="118"/>
    </row>
    <row r="95" spans="2:21" ht="15.95" hidden="1" customHeight="1" x14ac:dyDescent="0.15">
      <c r="B95" s="36" t="s">
        <v>65</v>
      </c>
      <c r="C95" s="20" t="s">
        <v>4</v>
      </c>
      <c r="D95" s="172">
        <f>D84</f>
        <v>0</v>
      </c>
      <c r="E95" s="12" t="s">
        <v>498</v>
      </c>
      <c r="G95" s="20" t="s">
        <v>9</v>
      </c>
      <c r="H95" s="36" t="s">
        <v>137</v>
      </c>
    </row>
    <row r="96" spans="2:21" ht="15.95" hidden="1" customHeight="1" x14ac:dyDescent="0.15">
      <c r="B96" s="35"/>
    </row>
    <row r="97" spans="2:15" ht="15.95" hidden="1" customHeight="1" x14ac:dyDescent="0.15">
      <c r="B97" s="36" t="s">
        <v>134</v>
      </c>
      <c r="C97" s="20" t="s">
        <v>4</v>
      </c>
      <c r="D97" s="172">
        <f>D44</f>
        <v>50315.315315315318</v>
      </c>
      <c r="E97" s="12" t="s">
        <v>502</v>
      </c>
      <c r="G97" s="20" t="s">
        <v>9</v>
      </c>
      <c r="H97" s="36" t="s">
        <v>138</v>
      </c>
    </row>
    <row r="98" spans="2:15" ht="15.95" hidden="1" customHeight="1" x14ac:dyDescent="0.15">
      <c r="C98" s="20"/>
    </row>
    <row r="99" spans="2:15" ht="15.95" hidden="1" customHeight="1" x14ac:dyDescent="0.15">
      <c r="B99" s="35" t="s">
        <v>132</v>
      </c>
      <c r="D99" s="28"/>
    </row>
    <row r="100" spans="2:15" ht="15.95" hidden="1" customHeight="1" x14ac:dyDescent="0.15"/>
    <row r="101" spans="2:15" ht="15.95" hidden="1" customHeight="1" x14ac:dyDescent="0.15">
      <c r="B101" s="36" t="s">
        <v>135</v>
      </c>
      <c r="C101" s="20" t="s">
        <v>4</v>
      </c>
      <c r="D101" s="36" t="s">
        <v>1045</v>
      </c>
    </row>
    <row r="102" spans="2:15" ht="15.95" hidden="1" customHeight="1" x14ac:dyDescent="0.15">
      <c r="C102" s="20" t="s">
        <v>4</v>
      </c>
      <c r="D102" s="29">
        <f>D95/D97</f>
        <v>0</v>
      </c>
      <c r="E102" s="29" t="s">
        <v>457</v>
      </c>
    </row>
    <row r="103" spans="2:15" ht="15.95" hidden="1" customHeight="1" x14ac:dyDescent="0.15"/>
    <row r="104" spans="2:15" ht="15.95" hidden="1" customHeight="1" x14ac:dyDescent="0.15">
      <c r="B104" s="35" t="s">
        <v>133</v>
      </c>
    </row>
    <row r="105" spans="2:15" ht="15.95" hidden="1" customHeight="1" x14ac:dyDescent="0.15">
      <c r="B105" s="35"/>
      <c r="G105" s="20"/>
      <c r="H105" s="36"/>
      <c r="M105" s="352">
        <f>M1</f>
        <v>1</v>
      </c>
      <c r="N105" s="12"/>
      <c r="O105" s="47"/>
    </row>
    <row r="106" spans="2:15" ht="15.95" hidden="1" customHeight="1" x14ac:dyDescent="0.15">
      <c r="B106" s="36" t="s">
        <v>140</v>
      </c>
      <c r="C106" s="20" t="s">
        <v>4</v>
      </c>
      <c r="D106" s="29">
        <f>IF(M105=M106,N106,N107)</f>
        <v>275</v>
      </c>
      <c r="E106" s="29" t="s">
        <v>457</v>
      </c>
      <c r="G106" s="20" t="s">
        <v>9</v>
      </c>
      <c r="H106" s="36" t="str">
        <f>IF(M105=M106,O106,O107)</f>
        <v>SS 275  Yield Strength</v>
      </c>
      <c r="I106" s="12"/>
      <c r="M106" s="350">
        <v>1</v>
      </c>
      <c r="N106" s="351">
        <v>275</v>
      </c>
      <c r="O106" s="349" t="s">
        <v>649</v>
      </c>
    </row>
    <row r="107" spans="2:15" ht="15.95" hidden="1" customHeight="1" x14ac:dyDescent="0.15">
      <c r="B107" s="36"/>
      <c r="C107" s="20"/>
      <c r="G107" s="20"/>
      <c r="H107" s="36"/>
      <c r="M107" s="350">
        <v>2</v>
      </c>
      <c r="N107" s="351">
        <v>205</v>
      </c>
      <c r="O107" s="349" t="s">
        <v>885</v>
      </c>
    </row>
    <row r="108" spans="2:15" ht="15.95" hidden="1" customHeight="1" x14ac:dyDescent="0.15">
      <c r="B108" s="36" t="s">
        <v>308</v>
      </c>
      <c r="C108" s="20" t="s">
        <v>4</v>
      </c>
      <c r="D108" s="80" t="s">
        <v>650</v>
      </c>
    </row>
    <row r="109" spans="2:15" ht="15.95" hidden="1" customHeight="1" x14ac:dyDescent="0.15">
      <c r="B109" s="38"/>
      <c r="C109" s="20" t="s">
        <v>4</v>
      </c>
      <c r="D109" s="29">
        <f>0.66*D106</f>
        <v>181.5</v>
      </c>
      <c r="E109" s="29" t="s">
        <v>457</v>
      </c>
    </row>
    <row r="110" spans="2:15" ht="15.95" hidden="1" customHeight="1" x14ac:dyDescent="0.15"/>
    <row r="111" spans="2:15" ht="15.95" hidden="1" customHeight="1" x14ac:dyDescent="0.15">
      <c r="B111" s="36" t="s">
        <v>319</v>
      </c>
      <c r="C111" s="20" t="s">
        <v>4</v>
      </c>
      <c r="D111" s="121" t="s">
        <v>506</v>
      </c>
      <c r="G111" s="20" t="s">
        <v>9</v>
      </c>
      <c r="H111" s="78" t="s">
        <v>367</v>
      </c>
      <c r="I111" s="20" t="s">
        <v>4</v>
      </c>
      <c r="J111" s="122">
        <f>D10</f>
        <v>2600</v>
      </c>
      <c r="K111" s="24" t="s">
        <v>505</v>
      </c>
    </row>
    <row r="112" spans="2:15" ht="15.95" hidden="1" customHeight="1" x14ac:dyDescent="0.15">
      <c r="B112" s="38"/>
      <c r="C112" s="20" t="s">
        <v>4</v>
      </c>
      <c r="D112" s="29">
        <f>90000/(J111*J112/J113)</f>
        <v>57.692307692307693</v>
      </c>
      <c r="E112" s="29" t="s">
        <v>457</v>
      </c>
      <c r="H112" s="78" t="s">
        <v>73</v>
      </c>
      <c r="I112" s="20" t="s">
        <v>4</v>
      </c>
      <c r="J112" s="122">
        <f>D35</f>
        <v>150</v>
      </c>
      <c r="K112" s="24" t="s">
        <v>505</v>
      </c>
    </row>
    <row r="113" spans="2:14" ht="15.95" hidden="1" customHeight="1" x14ac:dyDescent="0.15">
      <c r="H113" s="78" t="s">
        <v>368</v>
      </c>
      <c r="I113" s="20" t="s">
        <v>4</v>
      </c>
      <c r="J113" s="122">
        <f>J112/6*D37</f>
        <v>250</v>
      </c>
      <c r="K113" s="24" t="s">
        <v>504</v>
      </c>
      <c r="N113" s="37"/>
    </row>
    <row r="114" spans="2:14" ht="15.95" hidden="1" customHeight="1" x14ac:dyDescent="0.15">
      <c r="B114" s="36" t="s">
        <v>139</v>
      </c>
      <c r="C114" s="20" t="s">
        <v>4</v>
      </c>
      <c r="D114" s="121" t="s">
        <v>371</v>
      </c>
      <c r="F114" s="36"/>
      <c r="I114" s="20"/>
      <c r="N114" s="455"/>
    </row>
    <row r="115" spans="2:14" ht="15.95" hidden="1" customHeight="1" x14ac:dyDescent="0.15">
      <c r="C115" s="20" t="s">
        <v>4</v>
      </c>
      <c r="D115" s="29">
        <f>MIN(D109,D112)</f>
        <v>57.692307692307693</v>
      </c>
      <c r="E115" s="29" t="s">
        <v>457</v>
      </c>
      <c r="I115" s="20"/>
    </row>
    <row r="116" spans="2:14" ht="15.95" hidden="1" customHeight="1" x14ac:dyDescent="0.15"/>
    <row r="117" spans="2:14" ht="15.95" hidden="1" customHeight="1" x14ac:dyDescent="0.15">
      <c r="B117" s="35" t="s">
        <v>142</v>
      </c>
    </row>
    <row r="118" spans="2:14" ht="15.95" hidden="1" customHeight="1" x14ac:dyDescent="0.15">
      <c r="B118" s="35"/>
    </row>
    <row r="119" spans="2:14" ht="15.95" hidden="1" customHeight="1" x14ac:dyDescent="0.15">
      <c r="B119" s="36" t="s">
        <v>143</v>
      </c>
      <c r="C119" s="20" t="s">
        <v>4</v>
      </c>
      <c r="D119" s="38">
        <f>D102/D115</f>
        <v>0</v>
      </c>
      <c r="E119" s="39" t="str">
        <f>IF(D119&gt;F119,"&gt;","&lt;")</f>
        <v>&lt;</v>
      </c>
      <c r="F119" s="19">
        <v>1</v>
      </c>
      <c r="G119" s="107" t="str">
        <f>IF(D119&lt;F119,"O.K.","N.G.")</f>
        <v>O.K.</v>
      </c>
    </row>
    <row r="120" spans="2:14" ht="15.95" hidden="1" customHeight="1" x14ac:dyDescent="0.15">
      <c r="B120" s="36"/>
      <c r="C120" s="20"/>
      <c r="D120" s="38"/>
      <c r="E120" s="39"/>
      <c r="F120" s="19"/>
    </row>
    <row r="121" spans="2:14" ht="15.95" hidden="1" customHeight="1" x14ac:dyDescent="0.15">
      <c r="B121" s="36"/>
      <c r="C121" s="20"/>
      <c r="D121" s="38"/>
      <c r="E121" s="39"/>
      <c r="F121" s="19"/>
    </row>
    <row r="122" spans="2:14" ht="15.95" hidden="1" customHeight="1" x14ac:dyDescent="0.15">
      <c r="B122" s="40" t="s">
        <v>145</v>
      </c>
    </row>
    <row r="123" spans="2:14" ht="15.95" hidden="1" customHeight="1" x14ac:dyDescent="0.15"/>
    <row r="124" spans="2:14" ht="15.95" hidden="1" customHeight="1" x14ac:dyDescent="0.15">
      <c r="B124" s="35" t="s">
        <v>147</v>
      </c>
    </row>
    <row r="125" spans="2:14" ht="15.95" hidden="1" customHeight="1" x14ac:dyDescent="0.15">
      <c r="B125" s="35"/>
    </row>
    <row r="126" spans="2:14" ht="15.95" hidden="1" customHeight="1" x14ac:dyDescent="0.15">
      <c r="B126" s="78" t="s">
        <v>120</v>
      </c>
      <c r="C126" s="20" t="s">
        <v>4</v>
      </c>
      <c r="D126" s="24">
        <f>D16</f>
        <v>0</v>
      </c>
      <c r="E126" s="29" t="s">
        <v>479</v>
      </c>
    </row>
    <row r="127" spans="2:14" ht="15.95" hidden="1" customHeight="1" x14ac:dyDescent="0.15"/>
    <row r="128" spans="2:14" ht="15.95" hidden="1" customHeight="1" x14ac:dyDescent="0.15"/>
    <row r="129" spans="1:21" ht="15.95" hidden="1" customHeight="1" x14ac:dyDescent="0.15">
      <c r="B129" s="35" t="s">
        <v>146</v>
      </c>
      <c r="E129" s="42" t="s">
        <v>150</v>
      </c>
    </row>
    <row r="130" spans="1:21" ht="15.95" hidden="1" customHeight="1" x14ac:dyDescent="0.15">
      <c r="B130" s="35"/>
    </row>
    <row r="131" spans="1:21" ht="15.95" hidden="1" customHeight="1" x14ac:dyDescent="0.15">
      <c r="B131" s="78" t="s">
        <v>2</v>
      </c>
      <c r="C131" s="20" t="s">
        <v>4</v>
      </c>
      <c r="D131" s="167">
        <f>D9</f>
        <v>5000</v>
      </c>
      <c r="E131" s="24" t="str">
        <f>IF(D131&gt;4110,"mm      &gt;     4110 mm","mm     ≤     4110 mm")</f>
        <v>mm      &gt;     4110 mm</v>
      </c>
      <c r="M131" s="43" t="s">
        <v>151</v>
      </c>
      <c r="N131" s="41">
        <f>D131/240+6.35</f>
        <v>27.18333333333333</v>
      </c>
    </row>
    <row r="132" spans="1:21" ht="15.95" hidden="1" customHeight="1" x14ac:dyDescent="0.15">
      <c r="B132" s="78" t="s">
        <v>148</v>
      </c>
      <c r="C132" s="20" t="s">
        <v>4</v>
      </c>
      <c r="D132" s="177">
        <f>D131</f>
        <v>5000</v>
      </c>
      <c r="E132" s="35" t="str">
        <f>IF(D131&lt;4110,"mm      /     175","mm      /      240 + 6.35 mm ")</f>
        <v xml:space="preserve">mm      /      240 + 6.35 mm </v>
      </c>
      <c r="M132" s="43" t="s">
        <v>152</v>
      </c>
      <c r="N132" s="41">
        <f>D131/175</f>
        <v>28.571428571428573</v>
      </c>
    </row>
    <row r="133" spans="1:21" ht="15.95" hidden="1" customHeight="1" x14ac:dyDescent="0.15">
      <c r="B133" s="38"/>
      <c r="C133" s="20" t="s">
        <v>4</v>
      </c>
      <c r="D133" s="38">
        <f>IF(D131&gt;4110,N131,N132)</f>
        <v>27.18333333333333</v>
      </c>
      <c r="E133" s="24" t="s">
        <v>496</v>
      </c>
    </row>
    <row r="134" spans="1:21" ht="15.95" hidden="1" customHeight="1" x14ac:dyDescent="0.15"/>
    <row r="135" spans="1:21" ht="15.95" hidden="1" customHeight="1" x14ac:dyDescent="0.15"/>
    <row r="136" spans="1:21" ht="15.95" hidden="1" customHeight="1" x14ac:dyDescent="0.15">
      <c r="B136" s="35" t="s">
        <v>153</v>
      </c>
    </row>
    <row r="137" spans="1:21" s="20" customFormat="1" ht="15.95" hidden="1" customHeight="1" x14ac:dyDescent="0.15">
      <c r="A137" s="43"/>
      <c r="C137" s="43"/>
      <c r="D137" s="43"/>
      <c r="E137" s="43"/>
      <c r="F137" s="43"/>
      <c r="G137" s="43"/>
      <c r="H137" s="43"/>
      <c r="I137" s="43"/>
      <c r="J137" s="43"/>
      <c r="K137" s="43"/>
      <c r="L137" s="43"/>
      <c r="M137" s="43"/>
      <c r="O137" s="24"/>
      <c r="P137" s="24"/>
      <c r="Q137" s="24"/>
      <c r="R137" s="24"/>
      <c r="S137" s="24"/>
      <c r="T137" s="24"/>
      <c r="U137" s="24"/>
    </row>
    <row r="138" spans="1:21" s="20" customFormat="1" ht="15.95" hidden="1" customHeight="1" x14ac:dyDescent="0.15">
      <c r="A138" s="24"/>
      <c r="B138" s="36" t="s">
        <v>359</v>
      </c>
      <c r="C138" s="20" t="s">
        <v>4</v>
      </c>
      <c r="D138" s="38">
        <f>D126/(D133)</f>
        <v>0</v>
      </c>
      <c r="E138" s="39" t="str">
        <f>IF(D138&gt;F138,"&gt;","&lt;")</f>
        <v>&lt;</v>
      </c>
      <c r="F138" s="19">
        <v>1</v>
      </c>
      <c r="G138" s="107" t="str">
        <f>IF(D138&lt;F138,"O.K.","N.G.")</f>
        <v>O.K.</v>
      </c>
      <c r="I138" s="43"/>
      <c r="J138" s="43"/>
      <c r="K138" s="43"/>
      <c r="L138" s="43"/>
      <c r="M138" s="43"/>
      <c r="O138" s="24"/>
      <c r="P138" s="24"/>
      <c r="Q138" s="24"/>
      <c r="R138" s="24"/>
      <c r="S138" s="24"/>
      <c r="T138" s="24"/>
      <c r="U138" s="24"/>
    </row>
    <row r="139" spans="1:21" ht="15.95" hidden="1" customHeight="1" x14ac:dyDescent="0.15"/>
  </sheetData>
  <sheetProtection algorithmName="SHA-512" hashValue="7RtjbG5nQ5/vJBGMbNY0t2c8pRwhufb0yA7AJuae9+fX8m7ebCbXiAHdisk4kiwmQifSv/ie7S+s6rOwSzAB3Q==" saltValue="wXlPCK2fkDujzdpnfDY4uQ==" spinCount="100000" sheet="1" objects="1" scenarios="1" selectLockedCells="1"/>
  <protectedRanges>
    <protectedRange sqref="D7:D10" name="범위1_2"/>
    <protectedRange sqref="D35:D38" name="범위1_1_1"/>
  </protectedRanges>
  <mergeCells count="5">
    <mergeCell ref="B22:E32"/>
    <mergeCell ref="M6:N6"/>
    <mergeCell ref="N12:N13"/>
    <mergeCell ref="O12:O13"/>
    <mergeCell ref="B46:K46"/>
  </mergeCells>
  <phoneticPr fontId="2" type="noConversion"/>
  <pageMargins left="0.51181102362204722" right="0.51181102362204722" top="0.78740157480314965" bottom="0.59055118110236227" header="0.39370078740157483" footer="0.39370078740157483"/>
  <pageSetup paperSize="9"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>
    <tabColor rgb="FFC00000"/>
  </sheetPr>
  <dimension ref="A1:U139"/>
  <sheetViews>
    <sheetView view="pageBreakPreview" zoomScale="75" zoomScaleNormal="100" zoomScaleSheetLayoutView="75" workbookViewId="0">
      <selection activeCell="M1" sqref="M1"/>
    </sheetView>
  </sheetViews>
  <sheetFormatPr defaultRowHeight="15.95" customHeight="1" x14ac:dyDescent="0.15"/>
  <cols>
    <col min="1" max="1" width="2.77734375" style="24" customWidth="1"/>
    <col min="2" max="2" width="7.33203125" style="24" customWidth="1"/>
    <col min="3" max="3" width="5.33203125" style="24" customWidth="1"/>
    <col min="4" max="4" width="9.33203125" style="24" customWidth="1"/>
    <col min="5" max="5" width="5.33203125" style="24" customWidth="1"/>
    <col min="6" max="6" width="9.33203125" style="24" customWidth="1"/>
    <col min="7" max="8" width="7.33203125" style="24" customWidth="1"/>
    <col min="9" max="9" width="5.33203125" style="24" customWidth="1"/>
    <col min="10" max="10" width="9.33203125" style="24" customWidth="1"/>
    <col min="11" max="11" width="7.33203125" style="24" customWidth="1"/>
    <col min="12" max="12" width="2.77734375" style="24" customWidth="1"/>
    <col min="13" max="13" width="6.77734375" style="24" customWidth="1"/>
    <col min="14" max="14" width="8.5546875" style="24" customWidth="1"/>
    <col min="15" max="15" width="8.77734375" style="24" customWidth="1"/>
    <col min="16" max="16" width="9.77734375" style="24" customWidth="1"/>
    <col min="17" max="17" width="6.77734375" style="24" customWidth="1"/>
    <col min="18" max="18" width="8.77734375" style="24" customWidth="1"/>
    <col min="19" max="20" width="6.77734375" style="24" customWidth="1"/>
    <col min="21" max="21" width="9.77734375" style="24" customWidth="1"/>
    <col min="22" max="16384" width="8.88671875" style="24"/>
  </cols>
  <sheetData>
    <row r="1" spans="1:17" ht="15.95" customHeight="1" x14ac:dyDescent="0.15">
      <c r="A1" s="76" t="s">
        <v>366</v>
      </c>
      <c r="M1" s="577">
        <v>1</v>
      </c>
    </row>
    <row r="2" spans="1:17" ht="15.95" customHeight="1" x14ac:dyDescent="0.15">
      <c r="M2" s="186">
        <v>1</v>
      </c>
      <c r="N2" s="348">
        <v>210000</v>
      </c>
      <c r="O2" s="349" t="s">
        <v>883</v>
      </c>
      <c r="P2" s="335"/>
    </row>
    <row r="3" spans="1:17" ht="15.95" customHeight="1" x14ac:dyDescent="0.15">
      <c r="B3" s="77" t="s">
        <v>58</v>
      </c>
      <c r="M3" s="186">
        <v>2</v>
      </c>
      <c r="N3" s="348">
        <v>193000</v>
      </c>
      <c r="O3" s="349" t="s">
        <v>884</v>
      </c>
      <c r="P3" s="335"/>
    </row>
    <row r="5" spans="1:17" ht="15.95" customHeight="1" x14ac:dyDescent="0.15">
      <c r="B5" s="78" t="s">
        <v>59</v>
      </c>
      <c r="C5" s="20" t="s">
        <v>4</v>
      </c>
      <c r="D5" s="182">
        <f>(SUMPRODUCT((N8:N10=N7)*(O7:P7=M7),O8:P10))</f>
        <v>0</v>
      </c>
      <c r="E5" s="43" t="s">
        <v>456</v>
      </c>
      <c r="H5" s="36" t="s">
        <v>69</v>
      </c>
      <c r="J5" s="49"/>
      <c r="M5" s="38"/>
      <c r="P5" s="12"/>
      <c r="Q5" s="12"/>
    </row>
    <row r="6" spans="1:17" ht="15.95" customHeight="1" x14ac:dyDescent="0.15">
      <c r="B6" s="78" t="s">
        <v>67</v>
      </c>
      <c r="C6" s="20" t="s">
        <v>4</v>
      </c>
      <c r="D6" s="167">
        <f>IF(M1=M2,N2,N3)</f>
        <v>210000</v>
      </c>
      <c r="E6" s="43" t="s">
        <v>457</v>
      </c>
      <c r="H6" s="36" t="str">
        <f>IF(M1=M2,O2,O3)</f>
        <v>( Modulus of Elasticity , SS 275 )</v>
      </c>
      <c r="I6" s="43"/>
      <c r="M6" s="694" t="s">
        <v>543</v>
      </c>
      <c r="N6" s="694"/>
      <c r="O6" s="188"/>
      <c r="P6" s="189"/>
      <c r="Q6" s="26"/>
    </row>
    <row r="7" spans="1:17" ht="15.95" customHeight="1" x14ac:dyDescent="0.15">
      <c r="B7" s="78" t="s">
        <v>60</v>
      </c>
      <c r="C7" s="20" t="s">
        <v>4</v>
      </c>
      <c r="D7" s="560">
        <v>1200</v>
      </c>
      <c r="E7" s="43" t="s">
        <v>458</v>
      </c>
      <c r="H7" s="36" t="s">
        <v>70</v>
      </c>
      <c r="M7" s="562" t="s">
        <v>1004</v>
      </c>
      <c r="N7" s="563">
        <v>1</v>
      </c>
      <c r="O7" s="185" t="s">
        <v>541</v>
      </c>
      <c r="P7" s="185" t="s">
        <v>542</v>
      </c>
    </row>
    <row r="8" spans="1:17" ht="15.95" customHeight="1" x14ac:dyDescent="0.15">
      <c r="B8" s="78" t="s">
        <v>61</v>
      </c>
      <c r="C8" s="20" t="s">
        <v>4</v>
      </c>
      <c r="D8" s="560">
        <v>1500</v>
      </c>
      <c r="E8" s="43" t="s">
        <v>458</v>
      </c>
      <c r="H8" s="36" t="s">
        <v>71</v>
      </c>
      <c r="M8" s="190" t="s">
        <v>453</v>
      </c>
      <c r="N8" s="186">
        <v>1</v>
      </c>
      <c r="O8" s="187" t="str">
        <f>풍하중!$T$8</f>
        <v>-</v>
      </c>
      <c r="P8" s="187">
        <f>풍하중!$U$8</f>
        <v>1.52</v>
      </c>
    </row>
    <row r="9" spans="1:17" ht="15.95" customHeight="1" x14ac:dyDescent="0.15">
      <c r="B9" s="36" t="s">
        <v>491</v>
      </c>
      <c r="C9" s="20" t="s">
        <v>4</v>
      </c>
      <c r="D9" s="560">
        <v>1000</v>
      </c>
      <c r="E9" s="43" t="s">
        <v>458</v>
      </c>
      <c r="H9" s="36" t="s">
        <v>401</v>
      </c>
      <c r="J9" s="43"/>
      <c r="M9" s="190" t="s">
        <v>454</v>
      </c>
      <c r="N9" s="186">
        <v>2</v>
      </c>
      <c r="O9" s="187" t="str">
        <f>풍하중!$T$9</f>
        <v>-</v>
      </c>
      <c r="P9" s="187">
        <f>풍하중!$U$9</f>
        <v>-1.1619999999999999</v>
      </c>
    </row>
    <row r="10" spans="1:17" ht="15.95" customHeight="1" x14ac:dyDescent="0.15">
      <c r="B10" s="36" t="s">
        <v>490</v>
      </c>
      <c r="C10" s="20" t="s">
        <v>4</v>
      </c>
      <c r="D10" s="560">
        <v>4000</v>
      </c>
      <c r="E10" s="43" t="s">
        <v>499</v>
      </c>
      <c r="H10" s="36" t="s">
        <v>72</v>
      </c>
      <c r="M10" s="190" t="s">
        <v>455</v>
      </c>
      <c r="N10" s="186">
        <v>3</v>
      </c>
      <c r="O10" s="187" t="str">
        <f>풍하중!$T$10</f>
        <v>-</v>
      </c>
      <c r="P10" s="187">
        <f>풍하중!$U$10</f>
        <v>-1.39</v>
      </c>
    </row>
    <row r="11" spans="1:17" ht="15.95" customHeight="1" x14ac:dyDescent="0.15">
      <c r="B11" s="36" t="s">
        <v>492</v>
      </c>
      <c r="C11" s="20" t="s">
        <v>4</v>
      </c>
      <c r="D11" s="560">
        <v>2600</v>
      </c>
      <c r="E11" s="43" t="s">
        <v>496</v>
      </c>
      <c r="H11" s="36" t="s">
        <v>72</v>
      </c>
    </row>
    <row r="12" spans="1:17" ht="15.95" customHeight="1" x14ac:dyDescent="0.15">
      <c r="M12" s="165"/>
      <c r="N12" s="698"/>
      <c r="O12" s="698"/>
    </row>
    <row r="13" spans="1:17" ht="15.95" customHeight="1" x14ac:dyDescent="0.15">
      <c r="M13" s="165"/>
      <c r="N13" s="698"/>
      <c r="O13" s="698"/>
    </row>
    <row r="14" spans="1:17" ht="15.95" customHeight="1" x14ac:dyDescent="0.15">
      <c r="B14" s="36" t="s">
        <v>65</v>
      </c>
      <c r="C14" s="20" t="s">
        <v>4</v>
      </c>
      <c r="D14" s="172">
        <f>D89</f>
        <v>0</v>
      </c>
      <c r="E14" s="43" t="s">
        <v>514</v>
      </c>
      <c r="F14" s="36"/>
      <c r="H14" s="162" t="s">
        <v>66</v>
      </c>
      <c r="I14" s="20" t="s">
        <v>4</v>
      </c>
      <c r="J14" s="108">
        <f>D119</f>
        <v>0</v>
      </c>
      <c r="K14" s="83" t="str">
        <f>IF(J14&lt;1,"O.K","N.G")</f>
        <v>O.K</v>
      </c>
      <c r="N14" s="29"/>
    </row>
    <row r="16" spans="1:17" ht="15.95" customHeight="1" x14ac:dyDescent="0.15">
      <c r="B16" s="36" t="s">
        <v>120</v>
      </c>
      <c r="C16" s="20" t="s">
        <v>4</v>
      </c>
      <c r="D16" s="79">
        <f>D91</f>
        <v>0</v>
      </c>
      <c r="E16" s="43" t="s">
        <v>458</v>
      </c>
      <c r="F16" s="36"/>
    </row>
    <row r="17" spans="2:12" ht="15.95" customHeight="1" x14ac:dyDescent="0.15">
      <c r="B17" s="36" t="s">
        <v>484</v>
      </c>
      <c r="C17" s="20" t="s">
        <v>4</v>
      </c>
      <c r="D17" s="79">
        <f>D133</f>
        <v>22.857142857142858</v>
      </c>
      <c r="E17" s="43" t="s">
        <v>458</v>
      </c>
      <c r="H17" s="80" t="s">
        <v>68</v>
      </c>
      <c r="I17" s="20" t="s">
        <v>4</v>
      </c>
      <c r="J17" s="108">
        <f>D138</f>
        <v>0</v>
      </c>
      <c r="K17" s="83" t="str">
        <f>IF(J17&lt;1,"O.K","N.G")</f>
        <v>O.K</v>
      </c>
    </row>
    <row r="19" spans="2:12" ht="15.95" customHeight="1" x14ac:dyDescent="0.15">
      <c r="B19" s="78"/>
      <c r="C19" s="82"/>
      <c r="D19" s="20"/>
    </row>
    <row r="20" spans="2:12" ht="15.95" customHeight="1" x14ac:dyDescent="0.15">
      <c r="B20" s="77" t="s">
        <v>78</v>
      </c>
      <c r="E20" s="49"/>
    </row>
    <row r="21" spans="2:12" ht="15.95" customHeight="1" thickBot="1" x14ac:dyDescent="0.2">
      <c r="K21" s="81"/>
      <c r="L21" s="81"/>
    </row>
    <row r="22" spans="2:12" ht="15.95" customHeight="1" x14ac:dyDescent="0.15">
      <c r="B22" s="739"/>
      <c r="C22" s="696"/>
      <c r="D22" s="696"/>
      <c r="E22" s="697"/>
      <c r="F22" s="47"/>
      <c r="G22" s="138"/>
      <c r="H22" s="139"/>
      <c r="I22" s="139"/>
      <c r="J22" s="139"/>
      <c r="K22" s="140"/>
    </row>
    <row r="23" spans="2:12" ht="15.95" customHeight="1" x14ac:dyDescent="0.15">
      <c r="B23" s="740"/>
      <c r="C23" s="698"/>
      <c r="D23" s="698"/>
      <c r="E23" s="699"/>
      <c r="F23" s="47"/>
      <c r="G23" s="91"/>
      <c r="K23" s="110"/>
    </row>
    <row r="24" spans="2:12" ht="15.95" customHeight="1" x14ac:dyDescent="0.15">
      <c r="B24" s="740"/>
      <c r="C24" s="698"/>
      <c r="D24" s="698"/>
      <c r="E24" s="699"/>
      <c r="F24" s="47"/>
      <c r="G24" s="91"/>
      <c r="K24" s="110"/>
    </row>
    <row r="25" spans="2:12" ht="15.95" customHeight="1" x14ac:dyDescent="0.15">
      <c r="B25" s="740"/>
      <c r="C25" s="698"/>
      <c r="D25" s="698"/>
      <c r="E25" s="699"/>
      <c r="F25" s="47"/>
      <c r="G25" s="91"/>
      <c r="K25" s="110"/>
    </row>
    <row r="26" spans="2:12" ht="15.95" customHeight="1" x14ac:dyDescent="0.15">
      <c r="B26" s="740"/>
      <c r="C26" s="698"/>
      <c r="D26" s="698"/>
      <c r="E26" s="699"/>
      <c r="F26" s="47"/>
      <c r="G26" s="91"/>
      <c r="K26" s="110"/>
    </row>
    <row r="27" spans="2:12" ht="15.95" customHeight="1" x14ac:dyDescent="0.15">
      <c r="B27" s="740"/>
      <c r="C27" s="698"/>
      <c r="D27" s="698"/>
      <c r="E27" s="699"/>
      <c r="F27" s="47"/>
      <c r="G27" s="91"/>
      <c r="K27" s="110"/>
    </row>
    <row r="28" spans="2:12" ht="15.95" customHeight="1" x14ac:dyDescent="0.15">
      <c r="B28" s="740"/>
      <c r="C28" s="698"/>
      <c r="D28" s="698"/>
      <c r="E28" s="699"/>
      <c r="F28" s="47"/>
      <c r="G28" s="91"/>
      <c r="K28" s="110"/>
    </row>
    <row r="29" spans="2:12" ht="15.95" customHeight="1" x14ac:dyDescent="0.15">
      <c r="B29" s="740"/>
      <c r="C29" s="698"/>
      <c r="D29" s="698"/>
      <c r="E29" s="699"/>
      <c r="F29" s="47"/>
      <c r="G29" s="91"/>
      <c r="K29" s="110"/>
    </row>
    <row r="30" spans="2:12" ht="15.95" customHeight="1" x14ac:dyDescent="0.15">
      <c r="B30" s="740"/>
      <c r="C30" s="698"/>
      <c r="D30" s="698"/>
      <c r="E30" s="699"/>
      <c r="F30" s="47"/>
      <c r="G30" s="91"/>
      <c r="K30" s="110"/>
    </row>
    <row r="31" spans="2:12" ht="15.95" customHeight="1" x14ac:dyDescent="0.15">
      <c r="B31" s="740"/>
      <c r="C31" s="698"/>
      <c r="D31" s="698"/>
      <c r="E31" s="699"/>
      <c r="F31" s="47"/>
      <c r="G31" s="91"/>
      <c r="K31" s="110"/>
    </row>
    <row r="32" spans="2:12" ht="15.95" customHeight="1" x14ac:dyDescent="0.15">
      <c r="B32" s="740"/>
      <c r="C32" s="698"/>
      <c r="D32" s="698"/>
      <c r="E32" s="699"/>
      <c r="F32" s="47"/>
      <c r="G32" s="91"/>
      <c r="K32" s="110"/>
    </row>
    <row r="33" spans="2:21" ht="15.95" customHeight="1" x14ac:dyDescent="0.15">
      <c r="B33" s="111" t="str">
        <f>CONCATENATE("  * T - ",D35," × ",D36," × ",D37," / ",D38)</f>
        <v xml:space="preserve">  * T - 150 × 60 × 10 / 10</v>
      </c>
      <c r="E33" s="110"/>
      <c r="F33" s="47"/>
      <c r="G33" s="91"/>
      <c r="K33" s="110"/>
    </row>
    <row r="34" spans="2:21" ht="15.95" customHeight="1" x14ac:dyDescent="0.15">
      <c r="B34" s="91"/>
      <c r="E34" s="110"/>
      <c r="F34" s="47"/>
      <c r="G34" s="91"/>
      <c r="K34" s="110"/>
    </row>
    <row r="35" spans="2:21" ht="15.95" customHeight="1" x14ac:dyDescent="0.15">
      <c r="B35" s="71" t="s">
        <v>73</v>
      </c>
      <c r="C35" s="20" t="s">
        <v>4</v>
      </c>
      <c r="D35" s="565">
        <v>150</v>
      </c>
      <c r="E35" s="86" t="s">
        <v>496</v>
      </c>
      <c r="F35" s="47"/>
      <c r="G35" s="91"/>
      <c r="K35" s="110"/>
    </row>
    <row r="36" spans="2:21" ht="15.95" customHeight="1" x14ac:dyDescent="0.15">
      <c r="B36" s="71" t="s">
        <v>46</v>
      </c>
      <c r="C36" s="20" t="s">
        <v>4</v>
      </c>
      <c r="D36" s="565">
        <v>60</v>
      </c>
      <c r="E36" s="86" t="s">
        <v>496</v>
      </c>
      <c r="F36" s="47"/>
      <c r="G36" s="91"/>
      <c r="K36" s="110"/>
    </row>
    <row r="37" spans="2:21" ht="15.95" customHeight="1" x14ac:dyDescent="0.15">
      <c r="B37" s="71" t="s">
        <v>74</v>
      </c>
      <c r="C37" s="20" t="s">
        <v>4</v>
      </c>
      <c r="D37" s="565">
        <v>10</v>
      </c>
      <c r="E37" s="86" t="s">
        <v>496</v>
      </c>
      <c r="F37" s="47"/>
      <c r="G37" s="91"/>
      <c r="K37" s="110"/>
    </row>
    <row r="38" spans="2:21" ht="15.95" customHeight="1" x14ac:dyDescent="0.15">
      <c r="B38" s="71" t="s">
        <v>75</v>
      </c>
      <c r="C38" s="20" t="s">
        <v>4</v>
      </c>
      <c r="D38" s="565">
        <v>10</v>
      </c>
      <c r="E38" s="86" t="s">
        <v>496</v>
      </c>
      <c r="F38" s="47"/>
      <c r="G38" s="91"/>
      <c r="K38" s="110"/>
    </row>
    <row r="39" spans="2:21" ht="15.95" customHeight="1" x14ac:dyDescent="0.15">
      <c r="B39" s="71" t="s">
        <v>76</v>
      </c>
      <c r="C39" s="20" t="s">
        <v>4</v>
      </c>
      <c r="D39" s="23">
        <f>D41-D38</f>
        <v>47.5</v>
      </c>
      <c r="E39" s="86" t="s">
        <v>496</v>
      </c>
      <c r="F39" s="47"/>
      <c r="G39" s="91"/>
      <c r="K39" s="110"/>
      <c r="L39" s="81"/>
    </row>
    <row r="40" spans="2:21" ht="15.95" customHeight="1" x14ac:dyDescent="0.15">
      <c r="B40" s="71" t="s">
        <v>77</v>
      </c>
      <c r="C40" s="20" t="s">
        <v>4</v>
      </c>
      <c r="D40" s="23">
        <f>D36-D37</f>
        <v>50</v>
      </c>
      <c r="E40" s="86" t="s">
        <v>496</v>
      </c>
      <c r="F40" s="47"/>
      <c r="G40" s="91"/>
      <c r="K40" s="110"/>
      <c r="L40" s="81"/>
      <c r="M40" s="81"/>
      <c r="N40" s="112" t="s">
        <v>83</v>
      </c>
      <c r="O40" s="31" t="s">
        <v>4</v>
      </c>
      <c r="P40" s="113">
        <f>D35*D37+D40*D38</f>
        <v>2000</v>
      </c>
      <c r="Q40" s="114" t="s">
        <v>504</v>
      </c>
      <c r="U40" s="44"/>
    </row>
    <row r="41" spans="2:21" ht="15.95" customHeight="1" x14ac:dyDescent="0.15">
      <c r="B41" s="71" t="s">
        <v>364</v>
      </c>
      <c r="C41" s="20" t="s">
        <v>4</v>
      </c>
      <c r="D41" s="23">
        <f>(D37*D35^2+D40*D38^2)/(2*(D37*D35+D40*D38))</f>
        <v>57.5</v>
      </c>
      <c r="E41" s="86" t="s">
        <v>496</v>
      </c>
      <c r="F41" s="47"/>
      <c r="G41" s="91"/>
      <c r="K41" s="110"/>
      <c r="L41" s="81"/>
      <c r="M41" s="81"/>
      <c r="N41" s="112" t="s">
        <v>81</v>
      </c>
      <c r="O41" s="31" t="s">
        <v>4</v>
      </c>
      <c r="P41" s="120" t="s">
        <v>369</v>
      </c>
      <c r="Q41" s="114"/>
      <c r="U41" s="44"/>
    </row>
    <row r="42" spans="2:21" ht="15.95" customHeight="1" x14ac:dyDescent="0.15">
      <c r="B42" s="71" t="s">
        <v>365</v>
      </c>
      <c r="C42" s="20" t="s">
        <v>4</v>
      </c>
      <c r="D42" s="23">
        <f>D35-D41</f>
        <v>92.5</v>
      </c>
      <c r="E42" s="86" t="s">
        <v>496</v>
      </c>
      <c r="F42" s="47"/>
      <c r="G42" s="91"/>
      <c r="K42" s="110"/>
      <c r="L42" s="81"/>
      <c r="M42" s="81"/>
      <c r="N42" s="116"/>
      <c r="O42" s="31" t="s">
        <v>4</v>
      </c>
      <c r="P42" s="117">
        <f>(D35-D38)/D37</f>
        <v>14</v>
      </c>
      <c r="Q42" s="114"/>
      <c r="U42" s="44"/>
    </row>
    <row r="43" spans="2:21" ht="15.95" customHeight="1" x14ac:dyDescent="0.15">
      <c r="B43" s="71" t="s">
        <v>6</v>
      </c>
      <c r="C43" s="20" t="s">
        <v>4</v>
      </c>
      <c r="D43" s="176">
        <f>(D36*D41^3-D40*D39^3+D37*D42^3)/3</f>
        <v>4654166.666666667</v>
      </c>
      <c r="E43" s="86" t="s">
        <v>500</v>
      </c>
      <c r="F43" s="47"/>
      <c r="G43" s="91"/>
      <c r="K43" s="110"/>
      <c r="L43" s="81"/>
      <c r="M43" s="81"/>
      <c r="N43" s="112" t="s">
        <v>82</v>
      </c>
      <c r="O43" s="31" t="s">
        <v>4</v>
      </c>
      <c r="P43" s="120" t="s">
        <v>370</v>
      </c>
      <c r="Q43" s="114"/>
      <c r="U43" s="44"/>
    </row>
    <row r="44" spans="2:21" ht="15.95" customHeight="1" thickBot="1" x14ac:dyDescent="0.2">
      <c r="B44" s="87" t="s">
        <v>38</v>
      </c>
      <c r="C44" s="33" t="s">
        <v>4</v>
      </c>
      <c r="D44" s="183">
        <f>D43/(D42)</f>
        <v>50315.315315315318</v>
      </c>
      <c r="E44" s="88" t="s">
        <v>501</v>
      </c>
      <c r="F44" s="47"/>
      <c r="G44" s="94"/>
      <c r="H44" s="93"/>
      <c r="I44" s="93"/>
      <c r="J44" s="93"/>
      <c r="K44" s="141"/>
      <c r="L44" s="81"/>
      <c r="M44" s="81"/>
      <c r="N44" s="116"/>
      <c r="O44" s="31" t="s">
        <v>4</v>
      </c>
      <c r="P44" s="117">
        <f>(D40/2)/D38</f>
        <v>2.5</v>
      </c>
      <c r="Q44" s="114"/>
      <c r="U44" s="44"/>
    </row>
    <row r="45" spans="2:21" ht="15.95" customHeight="1" x14ac:dyDescent="0.15">
      <c r="B45" s="47"/>
      <c r="C45" s="47"/>
      <c r="D45" s="47"/>
      <c r="E45" s="47"/>
      <c r="F45" s="47"/>
      <c r="L45" s="81"/>
      <c r="U45" s="44"/>
    </row>
    <row r="46" spans="2:21" ht="15.95" customHeight="1" x14ac:dyDescent="0.15">
      <c r="B46" s="708" t="s">
        <v>1000</v>
      </c>
      <c r="C46" s="708"/>
      <c r="D46" s="708"/>
      <c r="E46" s="708"/>
      <c r="F46" s="708"/>
      <c r="G46" s="708"/>
      <c r="H46" s="708"/>
      <c r="I46" s="708"/>
      <c r="J46" s="708"/>
      <c r="K46" s="708"/>
      <c r="L46" s="81"/>
    </row>
    <row r="47" spans="2:21" s="47" customFormat="1" ht="15.95" hidden="1" customHeight="1" x14ac:dyDescent="0.15">
      <c r="B47" s="77" t="s">
        <v>84</v>
      </c>
    </row>
    <row r="48" spans="2:21" s="47" customFormat="1" ht="15.95" hidden="1" customHeight="1" x14ac:dyDescent="0.15"/>
    <row r="49" spans="1:9" s="47" customFormat="1" ht="15.95" hidden="1" customHeight="1" x14ac:dyDescent="0.15">
      <c r="B49" s="46"/>
    </row>
    <row r="50" spans="1:9" s="47" customFormat="1" ht="15.95" hidden="1" customHeight="1" x14ac:dyDescent="0.15">
      <c r="A50" s="48"/>
    </row>
    <row r="51" spans="1:9" s="47" customFormat="1" ht="15.95" hidden="1" customHeight="1" x14ac:dyDescent="0.15">
      <c r="A51" s="48"/>
    </row>
    <row r="52" spans="1:9" s="47" customFormat="1" ht="15.95" hidden="1" customHeight="1" x14ac:dyDescent="0.15">
      <c r="A52" s="48"/>
    </row>
    <row r="53" spans="1:9" s="47" customFormat="1" ht="15.95" hidden="1" customHeight="1" x14ac:dyDescent="0.15">
      <c r="A53" s="48"/>
    </row>
    <row r="54" spans="1:9" s="47" customFormat="1" ht="15.95" hidden="1" customHeight="1" x14ac:dyDescent="0.15">
      <c r="A54" s="48"/>
    </row>
    <row r="55" spans="1:9" s="47" customFormat="1" ht="15.95" hidden="1" customHeight="1" x14ac:dyDescent="0.15">
      <c r="A55" s="48"/>
    </row>
    <row r="56" spans="1:9" s="47" customFormat="1" ht="15.95" hidden="1" customHeight="1" x14ac:dyDescent="0.15">
      <c r="A56" s="48"/>
    </row>
    <row r="57" spans="1:9" s="47" customFormat="1" ht="15.95" hidden="1" customHeight="1" x14ac:dyDescent="0.15">
      <c r="A57" s="48"/>
    </row>
    <row r="58" spans="1:9" s="47" customFormat="1" ht="15.95" hidden="1" customHeight="1" x14ac:dyDescent="0.15">
      <c r="A58" s="48"/>
      <c r="D58" s="36"/>
    </row>
    <row r="59" spans="1:9" s="47" customFormat="1" ht="15.95" hidden="1" customHeight="1" x14ac:dyDescent="0.15">
      <c r="B59" s="24" t="s">
        <v>91</v>
      </c>
    </row>
    <row r="60" spans="1:9" s="47" customFormat="1" ht="15.95" hidden="1" customHeight="1" x14ac:dyDescent="0.15"/>
    <row r="61" spans="1:9" s="47" customFormat="1" ht="15.95" hidden="1" customHeight="1" x14ac:dyDescent="0.15">
      <c r="B61" s="36" t="s">
        <v>7</v>
      </c>
      <c r="C61" s="20" t="s">
        <v>4</v>
      </c>
      <c r="D61" s="36" t="s">
        <v>373</v>
      </c>
    </row>
    <row r="62" spans="1:9" s="47" customFormat="1" ht="15.95" hidden="1" customHeight="1" x14ac:dyDescent="0.15">
      <c r="B62" s="98" t="s">
        <v>8</v>
      </c>
      <c r="C62" s="20" t="s">
        <v>4</v>
      </c>
      <c r="D62" s="36" t="s">
        <v>374</v>
      </c>
      <c r="G62" s="20"/>
      <c r="H62" s="36"/>
    </row>
    <row r="63" spans="1:9" s="47" customFormat="1" ht="15.95" hidden="1" customHeight="1" x14ac:dyDescent="0.15">
      <c r="B63" s="36" t="s">
        <v>85</v>
      </c>
      <c r="C63" s="20" t="s">
        <v>4</v>
      </c>
      <c r="D63" s="36" t="s">
        <v>375</v>
      </c>
      <c r="G63" s="20"/>
    </row>
    <row r="64" spans="1:9" s="47" customFormat="1" ht="15.95" hidden="1" customHeight="1" x14ac:dyDescent="0.15">
      <c r="B64" s="36" t="s">
        <v>86</v>
      </c>
      <c r="C64" s="20" t="s">
        <v>4</v>
      </c>
      <c r="D64" s="36" t="s">
        <v>376</v>
      </c>
      <c r="G64" s="20"/>
      <c r="H64" s="20"/>
      <c r="I64" s="36"/>
    </row>
    <row r="65" spans="1:13" s="47" customFormat="1" ht="15.95" hidden="1" customHeight="1" x14ac:dyDescent="0.15">
      <c r="B65" s="36" t="s">
        <v>372</v>
      </c>
      <c r="C65" s="20" t="s">
        <v>4</v>
      </c>
      <c r="D65" s="36" t="s">
        <v>380</v>
      </c>
      <c r="G65" s="20" t="s">
        <v>9</v>
      </c>
      <c r="H65" s="36" t="s">
        <v>101</v>
      </c>
    </row>
    <row r="66" spans="1:13" s="47" customFormat="1" ht="15.95" hidden="1" customHeight="1" x14ac:dyDescent="0.15">
      <c r="B66" s="36" t="s">
        <v>87</v>
      </c>
      <c r="C66" s="20" t="s">
        <v>4</v>
      </c>
      <c r="D66" s="36" t="s">
        <v>377</v>
      </c>
      <c r="F66" s="48"/>
      <c r="G66" s="20" t="s">
        <v>9</v>
      </c>
      <c r="H66" s="36" t="s">
        <v>102</v>
      </c>
    </row>
    <row r="67" spans="1:13" s="47" customFormat="1" ht="15.95" hidden="1" customHeight="1" x14ac:dyDescent="0.15">
      <c r="B67" s="78" t="s">
        <v>120</v>
      </c>
      <c r="C67" s="20" t="s">
        <v>4</v>
      </c>
      <c r="D67" s="36" t="s">
        <v>381</v>
      </c>
      <c r="F67" s="48"/>
      <c r="H67" s="36" t="s">
        <v>103</v>
      </c>
    </row>
    <row r="68" spans="1:13" s="47" customFormat="1" ht="15.95" hidden="1" customHeight="1" x14ac:dyDescent="0.15"/>
    <row r="69" spans="1:13" s="47" customFormat="1" ht="15.95" hidden="1" customHeight="1" x14ac:dyDescent="0.15">
      <c r="A69" s="48"/>
      <c r="B69" s="24" t="s">
        <v>92</v>
      </c>
    </row>
    <row r="70" spans="1:13" s="47" customFormat="1" ht="15.95" hidden="1" customHeight="1" x14ac:dyDescent="0.15">
      <c r="H70" s="36"/>
    </row>
    <row r="71" spans="1:13" s="47" customFormat="1" ht="15.95" hidden="1" customHeight="1" x14ac:dyDescent="0.15">
      <c r="B71" s="78" t="s">
        <v>1052</v>
      </c>
      <c r="C71" s="37" t="s">
        <v>4</v>
      </c>
      <c r="D71" s="79">
        <f>0.65*ABS(D5/1000*(D7+D8)/2)</f>
        <v>0</v>
      </c>
      <c r="E71" s="24" t="s">
        <v>477</v>
      </c>
      <c r="F71" s="24"/>
      <c r="G71" s="20" t="s">
        <v>9</v>
      </c>
      <c r="H71" s="36" t="s">
        <v>382</v>
      </c>
    </row>
    <row r="72" spans="1:13" s="47" customFormat="1" ht="15.95" hidden="1" customHeight="1" x14ac:dyDescent="0.15">
      <c r="B72" s="78" t="s">
        <v>1054</v>
      </c>
      <c r="C72" s="37" t="s">
        <v>4</v>
      </c>
      <c r="D72" s="79">
        <f>D71</f>
        <v>0</v>
      </c>
      <c r="E72" s="24" t="s">
        <v>477</v>
      </c>
      <c r="F72" s="24"/>
      <c r="G72" s="20" t="s">
        <v>9</v>
      </c>
      <c r="H72" s="36" t="s">
        <v>382</v>
      </c>
      <c r="M72" s="36"/>
    </row>
    <row r="73" spans="1:13" s="47" customFormat="1" ht="15.95" hidden="1" customHeight="1" x14ac:dyDescent="0.15">
      <c r="B73" s="98" t="s">
        <v>378</v>
      </c>
      <c r="C73" s="37" t="s">
        <v>4</v>
      </c>
      <c r="D73" s="172">
        <f>D9</f>
        <v>1000</v>
      </c>
      <c r="E73" s="43" t="s">
        <v>458</v>
      </c>
      <c r="F73" s="24"/>
      <c r="G73" s="20" t="s">
        <v>9</v>
      </c>
      <c r="H73" s="36" t="s">
        <v>402</v>
      </c>
      <c r="M73" s="36"/>
    </row>
    <row r="74" spans="1:13" s="47" customFormat="1" ht="15.95" hidden="1" customHeight="1" x14ac:dyDescent="0.15">
      <c r="B74" s="98" t="s">
        <v>379</v>
      </c>
      <c r="C74" s="37" t="s">
        <v>4</v>
      </c>
      <c r="D74" s="172">
        <f>D10</f>
        <v>4000</v>
      </c>
      <c r="E74" s="43" t="s">
        <v>458</v>
      </c>
      <c r="F74" s="24"/>
      <c r="G74" s="20" t="s">
        <v>9</v>
      </c>
      <c r="H74" s="36" t="s">
        <v>403</v>
      </c>
      <c r="J74" s="52"/>
      <c r="K74" s="37"/>
      <c r="L74" s="75"/>
      <c r="M74" s="48"/>
    </row>
    <row r="75" spans="1:13" s="47" customFormat="1" ht="15.95" hidden="1" customHeight="1" x14ac:dyDescent="0.15">
      <c r="B75" s="36" t="s">
        <v>7</v>
      </c>
      <c r="C75" s="37" t="s">
        <v>4</v>
      </c>
      <c r="D75" s="172">
        <f>D71*D9+D72*D10</f>
        <v>0</v>
      </c>
      <c r="E75" s="24" t="s">
        <v>495</v>
      </c>
      <c r="F75" s="24"/>
      <c r="G75" s="20"/>
      <c r="H75" s="36"/>
    </row>
    <row r="76" spans="1:13" s="47" customFormat="1" ht="15.95" hidden="1" customHeight="1" x14ac:dyDescent="0.15">
      <c r="B76" s="36" t="s">
        <v>8</v>
      </c>
      <c r="C76" s="37" t="s">
        <v>4</v>
      </c>
      <c r="D76" s="34">
        <f>(D78*D73)/(D78*D74)</f>
        <v>0.25</v>
      </c>
      <c r="E76" s="24"/>
      <c r="F76" s="24"/>
      <c r="G76" s="20"/>
    </row>
    <row r="77" spans="1:13" s="47" customFormat="1" ht="15.95" hidden="1" customHeight="1" x14ac:dyDescent="0.15">
      <c r="B77" s="78" t="s">
        <v>5</v>
      </c>
      <c r="C77" s="37" t="s">
        <v>4</v>
      </c>
      <c r="D77" s="172">
        <f>D6</f>
        <v>210000</v>
      </c>
      <c r="E77" s="43" t="s">
        <v>457</v>
      </c>
      <c r="G77" s="20" t="s">
        <v>9</v>
      </c>
      <c r="H77" s="36" t="s">
        <v>95</v>
      </c>
    </row>
    <row r="78" spans="1:13" s="47" customFormat="1" ht="15.95" hidden="1" customHeight="1" x14ac:dyDescent="0.15">
      <c r="B78" s="78" t="s">
        <v>493</v>
      </c>
      <c r="C78" s="37" t="s">
        <v>4</v>
      </c>
      <c r="D78" s="172">
        <f>D43</f>
        <v>4654166.666666667</v>
      </c>
      <c r="E78" s="24" t="s">
        <v>494</v>
      </c>
      <c r="G78" s="20" t="s">
        <v>9</v>
      </c>
      <c r="H78" s="36" t="s">
        <v>96</v>
      </c>
    </row>
    <row r="79" spans="1:13" s="47" customFormat="1" ht="15.95" hidden="1" customHeight="1" x14ac:dyDescent="0.15">
      <c r="F79" s="47" t="s">
        <v>0</v>
      </c>
    </row>
    <row r="80" spans="1:13" s="47" customFormat="1" ht="15.95" hidden="1" customHeight="1" x14ac:dyDescent="0.15">
      <c r="A80" s="123"/>
      <c r="B80" s="24" t="s">
        <v>104</v>
      </c>
    </row>
    <row r="81" spans="1:21" s="47" customFormat="1" ht="15.95" hidden="1" customHeight="1" x14ac:dyDescent="0.15"/>
    <row r="82" spans="1:21" s="47" customFormat="1" ht="15.95" hidden="1" customHeight="1" x14ac:dyDescent="0.15">
      <c r="A82" s="47" t="s">
        <v>1</v>
      </c>
      <c r="B82" s="36" t="s">
        <v>85</v>
      </c>
      <c r="C82" s="37" t="s">
        <v>4</v>
      </c>
      <c r="D82" s="36" t="s">
        <v>375</v>
      </c>
      <c r="H82" s="46"/>
    </row>
    <row r="83" spans="1:21" s="47" customFormat="1" ht="15.95" hidden="1" customHeight="1" x14ac:dyDescent="0.15">
      <c r="B83" s="48"/>
      <c r="C83" s="37" t="s">
        <v>4</v>
      </c>
      <c r="D83" s="172">
        <f>(D71*D73)/2-(D76*D71*D73^2+D72*D74^2)/(8*(1+D76)*D73)</f>
        <v>0</v>
      </c>
      <c r="E83" s="24" t="s">
        <v>495</v>
      </c>
    </row>
    <row r="84" spans="1:21" s="47" customFormat="1" ht="15.95" hidden="1" customHeight="1" x14ac:dyDescent="0.15">
      <c r="B84" s="36" t="s">
        <v>86</v>
      </c>
      <c r="C84" s="37" t="s">
        <v>4</v>
      </c>
      <c r="D84" s="36" t="s">
        <v>376</v>
      </c>
      <c r="H84" s="46"/>
    </row>
    <row r="85" spans="1:21" s="47" customFormat="1" ht="15.95" hidden="1" customHeight="1" x14ac:dyDescent="0.15">
      <c r="B85" s="48"/>
      <c r="C85" s="37" t="s">
        <v>4</v>
      </c>
      <c r="D85" s="172">
        <f>(D72*D74)/2-(D76*D71*D73^2+D72*D74^2)/(8*(1+D76)*D74)</f>
        <v>0</v>
      </c>
      <c r="E85" s="24" t="s">
        <v>495</v>
      </c>
    </row>
    <row r="86" spans="1:21" s="47" customFormat="1" ht="15.95" hidden="1" customHeight="1" x14ac:dyDescent="0.15">
      <c r="B86" s="36" t="s">
        <v>372</v>
      </c>
      <c r="C86" s="37" t="s">
        <v>4</v>
      </c>
      <c r="D86" s="36" t="s">
        <v>380</v>
      </c>
      <c r="H86" s="46"/>
    </row>
    <row r="87" spans="1:21" s="47" customFormat="1" ht="15.95" hidden="1" customHeight="1" x14ac:dyDescent="0.15">
      <c r="B87" s="48"/>
      <c r="C87" s="37" t="s">
        <v>4</v>
      </c>
      <c r="D87" s="172">
        <f>D75-D83-D85</f>
        <v>0</v>
      </c>
      <c r="E87" s="24" t="s">
        <v>495</v>
      </c>
      <c r="J87" s="43"/>
    </row>
    <row r="88" spans="1:21" s="47" customFormat="1" ht="15.95" hidden="1" customHeight="1" x14ac:dyDescent="0.15">
      <c r="B88" s="36" t="s">
        <v>87</v>
      </c>
      <c r="C88" s="37" t="s">
        <v>4</v>
      </c>
      <c r="D88" s="36" t="s">
        <v>377</v>
      </c>
      <c r="H88" s="46"/>
      <c r="J88" s="24"/>
      <c r="M88" s="12"/>
      <c r="N88" s="172"/>
      <c r="O88" s="43"/>
    </row>
    <row r="89" spans="1:21" s="47" customFormat="1" ht="15.95" hidden="1" customHeight="1" x14ac:dyDescent="0.15">
      <c r="C89" s="37" t="s">
        <v>4</v>
      </c>
      <c r="D89" s="172">
        <f>(D76*D71*D73^2+D72*D74^2)/(8*(1+D76))</f>
        <v>0</v>
      </c>
      <c r="E89" s="43" t="s">
        <v>497</v>
      </c>
      <c r="J89" s="24"/>
      <c r="M89" s="12"/>
      <c r="N89" s="334"/>
      <c r="O89" s="12"/>
    </row>
    <row r="90" spans="1:21" s="47" customFormat="1" ht="15.95" hidden="1" customHeight="1" x14ac:dyDescent="0.15">
      <c r="B90" s="78" t="s">
        <v>120</v>
      </c>
      <c r="C90" s="37" t="s">
        <v>4</v>
      </c>
      <c r="D90" s="36" t="s">
        <v>383</v>
      </c>
      <c r="H90" s="46"/>
      <c r="J90" s="43"/>
      <c r="M90" s="12"/>
      <c r="N90" s="332"/>
      <c r="O90" s="43"/>
    </row>
    <row r="91" spans="1:21" s="47" customFormat="1" ht="15.95" hidden="1" customHeight="1" x14ac:dyDescent="0.15">
      <c r="B91" s="124"/>
      <c r="C91" s="37" t="s">
        <v>4</v>
      </c>
      <c r="D91" s="79">
        <f>(5*D72*D74^4/(384*D77*D78))-(D89*D74^2/(16*D77*D78))</f>
        <v>0</v>
      </c>
      <c r="E91" s="43" t="s">
        <v>496</v>
      </c>
      <c r="M91" s="12"/>
      <c r="N91" s="334"/>
      <c r="O91" s="12"/>
    </row>
    <row r="92" spans="1:21" s="47" customFormat="1" ht="15.95" hidden="1" customHeight="1" x14ac:dyDescent="0.15">
      <c r="B92" s="124"/>
      <c r="C92" s="37"/>
    </row>
    <row r="93" spans="1:21" ht="15.95" hidden="1" customHeight="1" x14ac:dyDescent="0.15">
      <c r="B93" s="77" t="s">
        <v>144</v>
      </c>
    </row>
    <row r="94" spans="1:21" ht="15.95" hidden="1" customHeight="1" x14ac:dyDescent="0.15">
      <c r="B94" s="77"/>
      <c r="D94" s="38"/>
      <c r="O94" s="118"/>
      <c r="Q94" s="118"/>
      <c r="S94" s="118"/>
      <c r="U94" s="118"/>
    </row>
    <row r="95" spans="1:21" ht="15.95" hidden="1" customHeight="1" x14ac:dyDescent="0.15">
      <c r="B95" s="36" t="s">
        <v>65</v>
      </c>
      <c r="C95" s="20" t="s">
        <v>4</v>
      </c>
      <c r="D95" s="172">
        <f>D14</f>
        <v>0</v>
      </c>
      <c r="E95" s="12" t="s">
        <v>498</v>
      </c>
      <c r="G95" s="20" t="s">
        <v>9</v>
      </c>
      <c r="H95" s="36" t="s">
        <v>137</v>
      </c>
    </row>
    <row r="96" spans="1:21" ht="15.95" hidden="1" customHeight="1" x14ac:dyDescent="0.15">
      <c r="B96" s="35"/>
    </row>
    <row r="97" spans="2:15" ht="15.95" hidden="1" customHeight="1" x14ac:dyDescent="0.15">
      <c r="B97" s="36" t="s">
        <v>134</v>
      </c>
      <c r="C97" s="20" t="s">
        <v>4</v>
      </c>
      <c r="D97" s="172">
        <f>D44</f>
        <v>50315.315315315318</v>
      </c>
      <c r="E97" s="12" t="s">
        <v>502</v>
      </c>
      <c r="G97" s="20" t="s">
        <v>9</v>
      </c>
      <c r="H97" s="36" t="s">
        <v>138</v>
      </c>
    </row>
    <row r="98" spans="2:15" ht="15.95" hidden="1" customHeight="1" x14ac:dyDescent="0.15">
      <c r="C98" s="20"/>
    </row>
    <row r="99" spans="2:15" ht="15.95" hidden="1" customHeight="1" x14ac:dyDescent="0.15">
      <c r="B99" s="35" t="s">
        <v>132</v>
      </c>
      <c r="D99" s="28"/>
    </row>
    <row r="100" spans="2:15" ht="15.95" hidden="1" customHeight="1" x14ac:dyDescent="0.15"/>
    <row r="101" spans="2:15" ht="15.95" hidden="1" customHeight="1" x14ac:dyDescent="0.15">
      <c r="B101" s="36" t="s">
        <v>135</v>
      </c>
      <c r="C101" s="20" t="s">
        <v>4</v>
      </c>
      <c r="D101" s="36" t="s">
        <v>1045</v>
      </c>
    </row>
    <row r="102" spans="2:15" ht="15.95" hidden="1" customHeight="1" x14ac:dyDescent="0.15">
      <c r="C102" s="20" t="s">
        <v>4</v>
      </c>
      <c r="D102" s="29">
        <f>D95/D97</f>
        <v>0</v>
      </c>
      <c r="E102" s="29" t="s">
        <v>457</v>
      </c>
    </row>
    <row r="103" spans="2:15" ht="15.95" hidden="1" customHeight="1" x14ac:dyDescent="0.15"/>
    <row r="104" spans="2:15" ht="15.95" hidden="1" customHeight="1" x14ac:dyDescent="0.15">
      <c r="B104" s="35" t="s">
        <v>133</v>
      </c>
      <c r="E104" s="24" t="str">
        <f>IF(N114=1,"","( Short Term Load )")</f>
        <v/>
      </c>
    </row>
    <row r="105" spans="2:15" ht="15.95" hidden="1" customHeight="1" x14ac:dyDescent="0.15">
      <c r="B105" s="35"/>
      <c r="G105" s="20"/>
      <c r="H105" s="36"/>
      <c r="M105" s="352">
        <f>M1</f>
        <v>1</v>
      </c>
      <c r="N105" s="12"/>
      <c r="O105" s="47"/>
    </row>
    <row r="106" spans="2:15" ht="15.95" hidden="1" customHeight="1" x14ac:dyDescent="0.15">
      <c r="B106" s="36" t="s">
        <v>140</v>
      </c>
      <c r="C106" s="20" t="s">
        <v>4</v>
      </c>
      <c r="D106" s="29">
        <f>IF(M105=M106,N106,N107)</f>
        <v>275</v>
      </c>
      <c r="E106" s="29" t="s">
        <v>457</v>
      </c>
      <c r="G106" s="20" t="s">
        <v>9</v>
      </c>
      <c r="H106" s="36" t="str">
        <f>IF(M105=M106,O106,O107)</f>
        <v>SS 275  Yield Strength</v>
      </c>
      <c r="I106" s="12"/>
      <c r="M106" s="350">
        <v>1</v>
      </c>
      <c r="N106" s="351">
        <v>275</v>
      </c>
      <c r="O106" s="349" t="s">
        <v>649</v>
      </c>
    </row>
    <row r="107" spans="2:15" ht="15.95" hidden="1" customHeight="1" x14ac:dyDescent="0.15">
      <c r="B107" s="36"/>
      <c r="C107" s="20"/>
      <c r="G107" s="20"/>
      <c r="H107" s="36"/>
      <c r="M107" s="350">
        <v>2</v>
      </c>
      <c r="N107" s="351">
        <v>205</v>
      </c>
      <c r="O107" s="349" t="s">
        <v>885</v>
      </c>
    </row>
    <row r="108" spans="2:15" ht="15.95" hidden="1" customHeight="1" x14ac:dyDescent="0.15">
      <c r="B108" s="36" t="s">
        <v>308</v>
      </c>
      <c r="C108" s="20" t="s">
        <v>4</v>
      </c>
      <c r="D108" s="80" t="s">
        <v>650</v>
      </c>
    </row>
    <row r="109" spans="2:15" ht="15.95" hidden="1" customHeight="1" x14ac:dyDescent="0.15">
      <c r="B109" s="38"/>
      <c r="C109" s="20" t="s">
        <v>4</v>
      </c>
      <c r="D109" s="29">
        <f>0.66*D106</f>
        <v>181.5</v>
      </c>
      <c r="E109" s="29" t="s">
        <v>457</v>
      </c>
    </row>
    <row r="110" spans="2:15" ht="15.95" hidden="1" customHeight="1" x14ac:dyDescent="0.15"/>
    <row r="111" spans="2:15" ht="15.95" hidden="1" customHeight="1" x14ac:dyDescent="0.15">
      <c r="B111" s="36" t="s">
        <v>319</v>
      </c>
      <c r="C111" s="20" t="s">
        <v>4</v>
      </c>
      <c r="D111" s="121" t="s">
        <v>892</v>
      </c>
      <c r="G111" s="20" t="s">
        <v>9</v>
      </c>
      <c r="H111" s="78" t="s">
        <v>367</v>
      </c>
      <c r="I111" s="20" t="s">
        <v>4</v>
      </c>
      <c r="J111" s="122">
        <f>D11</f>
        <v>2600</v>
      </c>
      <c r="K111" s="24" t="s">
        <v>505</v>
      </c>
    </row>
    <row r="112" spans="2:15" ht="15.95" hidden="1" customHeight="1" x14ac:dyDescent="0.15">
      <c r="B112" s="38"/>
      <c r="C112" s="20" t="s">
        <v>4</v>
      </c>
      <c r="D112" s="29">
        <f>90000/(J111*J112/J113)</f>
        <v>57.692307692307693</v>
      </c>
      <c r="E112" s="29" t="s">
        <v>457</v>
      </c>
      <c r="H112" s="78" t="s">
        <v>73</v>
      </c>
      <c r="I112" s="20" t="s">
        <v>4</v>
      </c>
      <c r="J112" s="122">
        <f>D35</f>
        <v>150</v>
      </c>
      <c r="K112" s="24" t="s">
        <v>505</v>
      </c>
    </row>
    <row r="113" spans="2:14" ht="15.95" hidden="1" customHeight="1" thickBot="1" x14ac:dyDescent="0.2">
      <c r="H113" s="78" t="s">
        <v>368</v>
      </c>
      <c r="I113" s="20" t="s">
        <v>4</v>
      </c>
      <c r="J113" s="122">
        <f>J112/6*D37</f>
        <v>250</v>
      </c>
      <c r="K113" s="24" t="s">
        <v>504</v>
      </c>
      <c r="N113" s="37" t="s">
        <v>141</v>
      </c>
    </row>
    <row r="114" spans="2:14" ht="15.95" hidden="1" customHeight="1" thickBot="1" x14ac:dyDescent="0.2">
      <c r="B114" s="36" t="s">
        <v>139</v>
      </c>
      <c r="C114" s="20" t="s">
        <v>4</v>
      </c>
      <c r="D114" s="121" t="s">
        <v>371</v>
      </c>
      <c r="F114" s="36" t="str">
        <f>IF(N114=1,"","×  1.33")</f>
        <v/>
      </c>
      <c r="I114" s="20"/>
      <c r="N114" s="106">
        <v>1</v>
      </c>
    </row>
    <row r="115" spans="2:14" ht="15.95" hidden="1" customHeight="1" x14ac:dyDescent="0.15">
      <c r="C115" s="20" t="s">
        <v>4</v>
      </c>
      <c r="D115" s="29">
        <f>MIN(D109,D112)*N114</f>
        <v>57.692307692307693</v>
      </c>
      <c r="E115" s="29" t="s">
        <v>457</v>
      </c>
      <c r="I115" s="20"/>
    </row>
    <row r="116" spans="2:14" ht="15.95" hidden="1" customHeight="1" x14ac:dyDescent="0.15"/>
    <row r="117" spans="2:14" ht="15.95" hidden="1" customHeight="1" x14ac:dyDescent="0.15">
      <c r="B117" s="35" t="s">
        <v>142</v>
      </c>
    </row>
    <row r="118" spans="2:14" ht="15.95" hidden="1" customHeight="1" x14ac:dyDescent="0.15">
      <c r="B118" s="35"/>
    </row>
    <row r="119" spans="2:14" ht="15.95" hidden="1" customHeight="1" x14ac:dyDescent="0.15">
      <c r="B119" s="36" t="s">
        <v>143</v>
      </c>
      <c r="C119" s="20" t="s">
        <v>4</v>
      </c>
      <c r="D119" s="38">
        <f>D102/D115</f>
        <v>0</v>
      </c>
      <c r="E119" s="39" t="str">
        <f>IF(D119&gt;F119,"&gt;","&lt;")</f>
        <v>&lt;</v>
      </c>
      <c r="F119" s="19">
        <v>1</v>
      </c>
      <c r="G119" s="107" t="str">
        <f>IF(D119&lt;F119,"O.K.","N.G.")</f>
        <v>O.K.</v>
      </c>
    </row>
    <row r="120" spans="2:14" ht="15.95" hidden="1" customHeight="1" x14ac:dyDescent="0.15">
      <c r="B120" s="36"/>
      <c r="C120" s="20"/>
      <c r="D120" s="38"/>
      <c r="E120" s="39"/>
      <c r="F120" s="19"/>
    </row>
    <row r="121" spans="2:14" ht="15.95" hidden="1" customHeight="1" x14ac:dyDescent="0.15">
      <c r="B121" s="36"/>
      <c r="C121" s="20"/>
      <c r="D121" s="38"/>
      <c r="E121" s="39"/>
      <c r="F121" s="19"/>
    </row>
    <row r="122" spans="2:14" ht="15.95" hidden="1" customHeight="1" x14ac:dyDescent="0.15">
      <c r="B122" s="40" t="s">
        <v>145</v>
      </c>
    </row>
    <row r="123" spans="2:14" ht="15.95" hidden="1" customHeight="1" x14ac:dyDescent="0.15"/>
    <row r="124" spans="2:14" ht="15.95" hidden="1" customHeight="1" x14ac:dyDescent="0.15">
      <c r="B124" s="35" t="s">
        <v>147</v>
      </c>
    </row>
    <row r="125" spans="2:14" ht="15.95" hidden="1" customHeight="1" x14ac:dyDescent="0.15">
      <c r="B125" s="35"/>
    </row>
    <row r="126" spans="2:14" ht="15.95" hidden="1" customHeight="1" x14ac:dyDescent="0.15">
      <c r="B126" s="78" t="s">
        <v>120</v>
      </c>
      <c r="C126" s="20" t="s">
        <v>4</v>
      </c>
      <c r="D126" s="24">
        <f>D16</f>
        <v>0</v>
      </c>
      <c r="E126" s="29" t="s">
        <v>479</v>
      </c>
    </row>
    <row r="127" spans="2:14" ht="15.95" hidden="1" customHeight="1" x14ac:dyDescent="0.15"/>
    <row r="128" spans="2:14" ht="15.95" hidden="1" customHeight="1" x14ac:dyDescent="0.15"/>
    <row r="129" spans="1:21" ht="15.95" hidden="1" customHeight="1" x14ac:dyDescent="0.15">
      <c r="B129" s="35" t="s">
        <v>146</v>
      </c>
      <c r="E129" s="42" t="s">
        <v>150</v>
      </c>
    </row>
    <row r="130" spans="1:21" ht="15.95" hidden="1" customHeight="1" x14ac:dyDescent="0.15">
      <c r="B130" s="35"/>
    </row>
    <row r="131" spans="1:21" ht="15.95" hidden="1" customHeight="1" x14ac:dyDescent="0.15">
      <c r="B131" s="78" t="s">
        <v>2</v>
      </c>
      <c r="C131" s="20" t="s">
        <v>4</v>
      </c>
      <c r="D131" s="167">
        <f>D10</f>
        <v>4000</v>
      </c>
      <c r="E131" s="24" t="str">
        <f>IF(D131&gt;4110,"mm      &gt;     4110 mm","mm     ≤     4110 mm")</f>
        <v>mm     ≤     4110 mm</v>
      </c>
      <c r="M131" s="43" t="s">
        <v>151</v>
      </c>
      <c r="N131" s="41">
        <f>D131/240+6.35</f>
        <v>23.016666666666666</v>
      </c>
    </row>
    <row r="132" spans="1:21" ht="15.95" hidden="1" customHeight="1" x14ac:dyDescent="0.15">
      <c r="B132" s="78" t="s">
        <v>148</v>
      </c>
      <c r="C132" s="20" t="s">
        <v>4</v>
      </c>
      <c r="D132" s="177">
        <f>D131</f>
        <v>4000</v>
      </c>
      <c r="E132" s="35" t="str">
        <f>IF(D131&lt;4110,"mm      /     175","mm      /      240 + 6.35 mm ")</f>
        <v>mm      /     175</v>
      </c>
      <c r="M132" s="43" t="s">
        <v>152</v>
      </c>
      <c r="N132" s="41">
        <f>D131/175</f>
        <v>22.857142857142858</v>
      </c>
    </row>
    <row r="133" spans="1:21" ht="15.95" hidden="1" customHeight="1" x14ac:dyDescent="0.15">
      <c r="B133" s="38"/>
      <c r="C133" s="20" t="s">
        <v>4</v>
      </c>
      <c r="D133" s="38">
        <f>IF(D131&gt;4110,N131,N132)</f>
        <v>22.857142857142858</v>
      </c>
      <c r="E133" s="24" t="s">
        <v>496</v>
      </c>
    </row>
    <row r="134" spans="1:21" ht="15.95" hidden="1" customHeight="1" x14ac:dyDescent="0.15"/>
    <row r="135" spans="1:21" ht="15.95" hidden="1" customHeight="1" x14ac:dyDescent="0.15"/>
    <row r="136" spans="1:21" ht="15.95" hidden="1" customHeight="1" x14ac:dyDescent="0.15">
      <c r="B136" s="35" t="s">
        <v>153</v>
      </c>
    </row>
    <row r="137" spans="1:21" s="20" customFormat="1" ht="15.95" hidden="1" customHeight="1" x14ac:dyDescent="0.15">
      <c r="A137" s="43"/>
      <c r="C137" s="43"/>
      <c r="D137" s="43"/>
      <c r="E137" s="43"/>
      <c r="F137" s="43"/>
      <c r="G137" s="43"/>
      <c r="H137" s="43"/>
      <c r="I137" s="43"/>
      <c r="J137" s="43"/>
      <c r="K137" s="43"/>
      <c r="L137" s="43"/>
      <c r="M137" s="43"/>
      <c r="O137" s="24"/>
      <c r="P137" s="24"/>
      <c r="Q137" s="24"/>
      <c r="R137" s="24"/>
      <c r="S137" s="24"/>
      <c r="T137" s="24"/>
      <c r="U137" s="24"/>
    </row>
    <row r="138" spans="1:21" s="20" customFormat="1" ht="15.95" hidden="1" customHeight="1" x14ac:dyDescent="0.15">
      <c r="A138" s="24"/>
      <c r="B138" s="36" t="s">
        <v>359</v>
      </c>
      <c r="C138" s="20" t="s">
        <v>4</v>
      </c>
      <c r="D138" s="38">
        <f>D126/(D133)</f>
        <v>0</v>
      </c>
      <c r="E138" s="39" t="str">
        <f>IF(D138&gt;F138,"&gt;","&lt;")</f>
        <v>&lt;</v>
      </c>
      <c r="F138" s="19">
        <v>1</v>
      </c>
      <c r="G138" s="107" t="str">
        <f>IF(D138&lt;F138,"O.K.","N.G.")</f>
        <v>O.K.</v>
      </c>
      <c r="I138" s="43"/>
      <c r="J138" s="43"/>
      <c r="K138" s="43"/>
      <c r="L138" s="43"/>
      <c r="M138" s="43"/>
      <c r="O138" s="24"/>
      <c r="P138" s="24"/>
      <c r="Q138" s="24"/>
      <c r="R138" s="24"/>
      <c r="S138" s="24"/>
      <c r="T138" s="24"/>
      <c r="U138" s="24"/>
    </row>
    <row r="139" spans="1:21" ht="15.95" hidden="1" customHeight="1" x14ac:dyDescent="0.15"/>
  </sheetData>
  <sheetProtection algorithmName="SHA-512" hashValue="XpgcQzoz1ZjA2AwBB9HZvNvA+c0Rvflrc6zMwLgz/szNf5cIK/lNaGvscb+Rx0n5gn5K3YzWhmvqFofF1kn4+w==" saltValue="wIe03JQ55ZXVXROexEg0zw==" spinCount="100000" sheet="1" objects="1" scenarios="1" selectLockedCells="1"/>
  <protectedRanges>
    <protectedRange sqref="D11" name="범위1_2_1"/>
    <protectedRange sqref="D7:D10" name="범위1_2_2"/>
    <protectedRange sqref="D35:D38" name="범위1_1_1_1"/>
  </protectedRanges>
  <mergeCells count="5">
    <mergeCell ref="B22:E32"/>
    <mergeCell ref="M6:N6"/>
    <mergeCell ref="N12:N13"/>
    <mergeCell ref="O12:O13"/>
    <mergeCell ref="B46:K46"/>
  </mergeCells>
  <phoneticPr fontId="2" type="noConversion"/>
  <pageMargins left="0.51181102362204722" right="0.51181102362204722" top="0.78740157480314965" bottom="0.59055118110236227" header="0.39370078740157483" footer="0.39370078740157483"/>
  <pageSetup paperSize="9" orientation="portrait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17185C-D697-4ACD-BF78-FE9B8E005384}">
  <sheetPr codeName="Sheet16">
    <tabColor rgb="FFFFC000"/>
  </sheetPr>
  <dimension ref="A1:AU178"/>
  <sheetViews>
    <sheetView view="pageBreakPreview" zoomScale="75" zoomScaleNormal="100" zoomScaleSheetLayoutView="75" workbookViewId="0">
      <selection activeCell="F11" sqref="F11"/>
    </sheetView>
  </sheetViews>
  <sheetFormatPr defaultColWidth="5.77734375" defaultRowHeight="14.25" x14ac:dyDescent="0.15"/>
  <cols>
    <col min="1" max="2" width="2.77734375" style="17" customWidth="1"/>
    <col min="3" max="9" width="7.33203125" style="17" customWidth="1"/>
    <col min="10" max="11" width="7.33203125" style="18" customWidth="1"/>
    <col min="12" max="12" width="5.33203125" style="18" customWidth="1"/>
    <col min="13" max="13" width="2.77734375" style="18" customWidth="1"/>
    <col min="14" max="14" width="6.5546875" style="17" bestFit="1" customWidth="1"/>
    <col min="15" max="15" width="5.109375" style="17" customWidth="1"/>
    <col min="16" max="16" width="6.109375" style="17" bestFit="1" customWidth="1"/>
    <col min="17" max="17" width="16.44140625" style="17" customWidth="1"/>
    <col min="18" max="18" width="6.5546875" style="17" bestFit="1" customWidth="1"/>
    <col min="19" max="19" width="4.21875" style="17" bestFit="1" customWidth="1"/>
    <col min="20" max="20" width="2.5546875" style="17" bestFit="1" customWidth="1"/>
    <col min="21" max="21" width="6.109375" style="17" bestFit="1" customWidth="1"/>
    <col min="22" max="23" width="8.77734375" style="17" bestFit="1" customWidth="1"/>
    <col min="24" max="24" width="6.5546875" style="17" bestFit="1" customWidth="1"/>
    <col min="28" max="28" width="0" hidden="1" customWidth="1"/>
    <col min="29" max="29" width="6.88671875" style="17" hidden="1" customWidth="1"/>
    <col min="30" max="30" width="5.44140625" style="17" hidden="1" customWidth="1"/>
    <col min="31" max="31" width="5.109375" style="17" hidden="1" customWidth="1"/>
    <col min="32" max="32" width="5.77734375" style="17" hidden="1" customWidth="1"/>
    <col min="33" max="33" width="6.6640625" style="17" hidden="1" customWidth="1"/>
    <col min="34" max="34" width="10" style="17" hidden="1" customWidth="1"/>
    <col min="35" max="35" width="6.88671875" style="17" hidden="1" customWidth="1"/>
    <col min="36" max="36" width="6.109375" style="17" hidden="1" customWidth="1"/>
    <col min="37" max="37" width="7.77734375" style="17" hidden="1" customWidth="1"/>
    <col min="38" max="38" width="0" style="17" hidden="1" customWidth="1"/>
    <col min="39" max="39" width="1.6640625" style="17" hidden="1" customWidth="1"/>
    <col min="40" max="40" width="0" style="442" hidden="1" customWidth="1"/>
    <col min="41" max="41" width="8" style="17" hidden="1" customWidth="1"/>
    <col min="42" max="42" width="50.21875" style="17" hidden="1" customWidth="1"/>
    <col min="43" max="43" width="8.21875" style="17" hidden="1" customWidth="1"/>
    <col min="44" max="44" width="2.5546875" style="17" hidden="1" customWidth="1"/>
    <col min="45" max="45" width="5.109375" style="17" hidden="1" customWidth="1"/>
    <col min="46" max="46" width="5.6640625" style="17" hidden="1" customWidth="1"/>
    <col min="47" max="47" width="0" style="17" hidden="1" customWidth="1"/>
    <col min="48" max="16384" width="5.77734375" style="17"/>
  </cols>
  <sheetData>
    <row r="1" spans="1:46" s="2" customFormat="1" ht="32.1" customHeight="1" x14ac:dyDescent="0.15">
      <c r="A1" s="1"/>
      <c r="B1" s="365" t="s">
        <v>895</v>
      </c>
      <c r="C1" s="365"/>
      <c r="D1" s="365"/>
      <c r="E1" s="365"/>
      <c r="F1" s="365"/>
      <c r="G1" s="365"/>
      <c r="H1" s="365"/>
      <c r="I1" s="365"/>
      <c r="J1" s="365"/>
      <c r="K1" s="365"/>
      <c r="L1" s="365"/>
      <c r="M1" s="365"/>
      <c r="O1" s="7"/>
      <c r="P1" s="7"/>
      <c r="Q1" s="7"/>
      <c r="R1" s="7"/>
      <c r="S1" s="7"/>
      <c r="T1" s="7"/>
      <c r="U1" s="7"/>
      <c r="V1" s="7"/>
      <c r="W1" s="7"/>
      <c r="X1" s="7"/>
      <c r="AC1" s="7"/>
      <c r="AD1" s="7"/>
      <c r="AH1" s="7"/>
      <c r="AI1" s="7"/>
      <c r="AJ1" s="7"/>
      <c r="AK1" s="7"/>
    </row>
    <row r="2" spans="1:46" s="2" customFormat="1" ht="15.95" customHeight="1" x14ac:dyDescent="0.15">
      <c r="A2" s="1"/>
      <c r="B2" s="369"/>
      <c r="C2" s="369"/>
      <c r="D2" s="369"/>
      <c r="E2" s="369"/>
      <c r="F2" s="369"/>
      <c r="G2" s="369"/>
      <c r="H2" s="369"/>
      <c r="I2" s="369"/>
      <c r="J2" s="369"/>
      <c r="K2" s="369"/>
      <c r="L2" s="369"/>
      <c r="M2" s="369"/>
      <c r="N2" s="11" t="s">
        <v>896</v>
      </c>
      <c r="U2" s="7"/>
      <c r="V2" s="7"/>
      <c r="W2" s="7"/>
      <c r="X2" s="7"/>
      <c r="AH2" s="7"/>
      <c r="AI2" s="7"/>
      <c r="AJ2" s="7"/>
    </row>
    <row r="3" spans="1:46" s="7" customFormat="1" ht="15.95" customHeight="1" x14ac:dyDescent="0.15">
      <c r="B3" s="8" t="s">
        <v>897</v>
      </c>
      <c r="C3" s="7" t="s">
        <v>898</v>
      </c>
      <c r="I3" s="9"/>
      <c r="N3" s="11" t="s">
        <v>899</v>
      </c>
      <c r="AM3" s="3">
        <f t="shared" ref="AM3:AM34" si="0">ROUNDDOWN(COUNT(AQ3),0)</f>
        <v>0</v>
      </c>
      <c r="AN3" s="370">
        <v>0.11</v>
      </c>
      <c r="AO3" s="3" t="s">
        <v>1105</v>
      </c>
      <c r="AP3" s="142" t="s">
        <v>1109</v>
      </c>
      <c r="AQ3" s="3" t="e">
        <f>FIND(지진하중!$O$8,AP3,1)</f>
        <v>#VALUE!</v>
      </c>
      <c r="AR3" s="3">
        <f t="shared" ref="AR3:AR34" si="1">AM3*AN3</f>
        <v>0</v>
      </c>
      <c r="AS3" s="4" t="str">
        <f>IF(AR3=0,"",AO3)</f>
        <v/>
      </c>
      <c r="AT3" s="5" t="str">
        <f>IF(AR3=0,"",MID(AP3,AQ3,4))</f>
        <v/>
      </c>
    </row>
    <row r="4" spans="1:46" s="7" customFormat="1" ht="15.95" customHeight="1" x14ac:dyDescent="0.15">
      <c r="A4" s="10"/>
      <c r="B4" s="358"/>
      <c r="C4" s="16"/>
      <c r="D4" s="358"/>
      <c r="E4" s="358"/>
      <c r="F4" s="358"/>
      <c r="G4" s="358"/>
      <c r="H4" s="358"/>
      <c r="I4" s="358"/>
      <c r="J4" s="358"/>
      <c r="K4" s="358"/>
      <c r="L4" s="358"/>
      <c r="M4" s="358"/>
      <c r="N4" s="11" t="s">
        <v>900</v>
      </c>
      <c r="AM4" s="3">
        <f t="shared" si="0"/>
        <v>0</v>
      </c>
      <c r="AN4" s="370">
        <v>0.11</v>
      </c>
      <c r="AO4" s="3" t="s">
        <v>1105</v>
      </c>
      <c r="AP4" s="142" t="s">
        <v>1108</v>
      </c>
      <c r="AQ4" s="3" t="e">
        <f>FIND(지진하중!$O$8,AP4,1)</f>
        <v>#VALUE!</v>
      </c>
      <c r="AR4" s="3">
        <f t="shared" si="1"/>
        <v>0</v>
      </c>
      <c r="AS4" s="4" t="str">
        <f>IF(AR4=0,"",AO4)</f>
        <v/>
      </c>
      <c r="AT4" s="5" t="str">
        <f>IF(AR4=0,"",MID(AP4,AQ4,4))</f>
        <v/>
      </c>
    </row>
    <row r="5" spans="1:46" s="7" customFormat="1" ht="15.95" customHeight="1" x14ac:dyDescent="0.15">
      <c r="B5" s="371" t="s">
        <v>901</v>
      </c>
      <c r="C5" s="372" t="s">
        <v>902</v>
      </c>
      <c r="D5" s="372"/>
      <c r="E5" s="372"/>
      <c r="F5" s="358"/>
      <c r="G5" s="358"/>
      <c r="H5" s="358"/>
      <c r="I5" s="358"/>
      <c r="J5" s="358"/>
      <c r="K5" s="358"/>
      <c r="L5" s="358"/>
      <c r="M5" s="358"/>
      <c r="N5" s="10" t="s">
        <v>903</v>
      </c>
      <c r="P5" s="358"/>
      <c r="Q5" s="358"/>
      <c r="R5" s="358"/>
      <c r="S5" s="358"/>
      <c r="T5" s="358"/>
      <c r="U5" s="358"/>
      <c r="V5" s="358"/>
      <c r="W5" s="358"/>
      <c r="X5" s="358"/>
      <c r="AC5" s="358"/>
      <c r="AD5" s="358"/>
      <c r="AH5" s="358"/>
      <c r="AI5" s="358"/>
      <c r="AJ5" s="358"/>
      <c r="AK5" s="358"/>
      <c r="AM5" s="3">
        <f t="shared" si="0"/>
        <v>1</v>
      </c>
      <c r="AN5" s="370">
        <v>0.11</v>
      </c>
      <c r="AO5" s="3" t="s">
        <v>1105</v>
      </c>
      <c r="AP5" s="142" t="s">
        <v>1107</v>
      </c>
      <c r="AQ5" s="3">
        <f>FIND(지진하중!$O$8,AP5,1)</f>
        <v>1</v>
      </c>
      <c r="AR5" s="3">
        <f t="shared" si="1"/>
        <v>0.11</v>
      </c>
      <c r="AS5" s="4" t="str">
        <f>IF(AR5=0,"",AO5)</f>
        <v>경기도</v>
      </c>
      <c r="AT5" s="5" t="str">
        <f>IF(AR5=0,"",MID(AP5,AQ5,4))</f>
        <v xml:space="preserve">서울시 </v>
      </c>
    </row>
    <row r="6" spans="1:46" s="6" customFormat="1" ht="15.95" customHeight="1" thickBot="1" x14ac:dyDescent="0.2">
      <c r="B6" s="356"/>
      <c r="C6" s="358"/>
      <c r="D6" s="373"/>
      <c r="E6" s="373"/>
      <c r="F6" s="373"/>
      <c r="G6" s="373"/>
      <c r="H6" s="373"/>
      <c r="I6" s="373"/>
      <c r="J6" s="373"/>
      <c r="K6" s="373"/>
      <c r="L6" s="373"/>
      <c r="M6" s="373"/>
      <c r="N6" s="10" t="s">
        <v>904</v>
      </c>
      <c r="P6" s="373"/>
      <c r="Q6" s="373"/>
      <c r="R6" s="358"/>
      <c r="S6" s="358"/>
      <c r="T6" s="358"/>
      <c r="U6" s="358"/>
      <c r="V6" s="373"/>
      <c r="W6" s="373"/>
      <c r="X6" s="373"/>
      <c r="AC6" s="373"/>
      <c r="AD6" s="373"/>
      <c r="AH6" s="373"/>
      <c r="AI6" s="373"/>
      <c r="AJ6" s="373"/>
      <c r="AK6" s="373"/>
      <c r="AM6" s="3">
        <f t="shared" si="0"/>
        <v>0</v>
      </c>
      <c r="AN6" s="370">
        <v>0.11</v>
      </c>
      <c r="AO6" s="3" t="s">
        <v>1105</v>
      </c>
      <c r="AP6" s="142" t="s">
        <v>1106</v>
      </c>
      <c r="AQ6" s="3" t="e">
        <f>FIND(지진하중!$O$8,AP6,1)</f>
        <v>#VALUE!</v>
      </c>
      <c r="AR6" s="3">
        <f t="shared" si="1"/>
        <v>0</v>
      </c>
      <c r="AS6" s="4" t="str">
        <f>IF(AR6=0,"",AO6)</f>
        <v/>
      </c>
      <c r="AT6" s="5" t="str">
        <f>IF(AR6=0,"",MID(AP6,AQ6,4))</f>
        <v/>
      </c>
    </row>
    <row r="7" spans="1:46" s="6" customFormat="1" ht="15.95" customHeight="1" thickBot="1" x14ac:dyDescent="0.2">
      <c r="B7" s="12" t="s">
        <v>905</v>
      </c>
      <c r="C7" s="373"/>
      <c r="D7" s="373"/>
      <c r="E7" s="374" t="str">
        <f>IF(F17=1," "," * Anchor Calculation, Overstrength factors reflect.")</f>
        <v xml:space="preserve"> * Anchor Calculation, Overstrength factors reflect.</v>
      </c>
      <c r="F7" s="373"/>
      <c r="G7" s="373"/>
      <c r="H7" s="373"/>
      <c r="I7" s="373"/>
      <c r="J7" s="373"/>
      <c r="K7" s="373"/>
      <c r="L7" s="373"/>
      <c r="M7" s="373"/>
      <c r="N7" s="10" t="s">
        <v>906</v>
      </c>
      <c r="P7" s="373"/>
      <c r="Q7" s="373"/>
      <c r="V7" s="376"/>
      <c r="W7" s="376"/>
      <c r="X7" s="376"/>
      <c r="AC7" s="375" t="s">
        <v>907</v>
      </c>
      <c r="AD7" s="581">
        <v>1</v>
      </c>
      <c r="AE7" s="373"/>
      <c r="AF7" s="373"/>
      <c r="AH7" s="757" t="s">
        <v>908</v>
      </c>
      <c r="AI7" s="758"/>
      <c r="AJ7" s="758"/>
      <c r="AK7" s="759"/>
      <c r="AM7" s="3">
        <f t="shared" si="0"/>
        <v>0</v>
      </c>
      <c r="AN7" s="370">
        <v>0.11</v>
      </c>
      <c r="AO7" s="3" t="s">
        <v>1105</v>
      </c>
      <c r="AP7" s="142" t="s">
        <v>909</v>
      </c>
      <c r="AQ7" s="3" t="e">
        <f>FIND(지진하중!$O$8,AP7,1)</f>
        <v>#VALUE!</v>
      </c>
      <c r="AR7" s="3">
        <f t="shared" si="1"/>
        <v>0</v>
      </c>
      <c r="AS7" s="4" t="str">
        <f>IF(OR(AR7=0,[8]지진하중!O9=2),"",AO7)</f>
        <v/>
      </c>
      <c r="AT7" s="5" t="str">
        <f>IF(OR(AR7=0,[8]지진하중!O9=2),"",IF(AR7=0,"",MID(AP7,AQ7,4)))</f>
        <v/>
      </c>
    </row>
    <row r="8" spans="1:46" s="6" customFormat="1" ht="15.95" customHeight="1" thickBot="1" x14ac:dyDescent="0.2">
      <c r="B8" s="12"/>
      <c r="C8" s="373"/>
      <c r="D8" s="373"/>
      <c r="E8" s="373"/>
      <c r="F8" s="373"/>
      <c r="G8" s="373"/>
      <c r="H8" s="373"/>
      <c r="I8" s="373"/>
      <c r="J8" s="373"/>
      <c r="K8" s="373"/>
      <c r="L8" s="373"/>
      <c r="M8" s="373"/>
      <c r="N8" s="2" t="s">
        <v>910</v>
      </c>
      <c r="O8" s="655" t="s">
        <v>1110</v>
      </c>
      <c r="P8" s="2"/>
      <c r="Q8" s="373"/>
      <c r="AC8" s="784" t="s">
        <v>911</v>
      </c>
      <c r="AD8" s="784">
        <v>1</v>
      </c>
      <c r="AE8" s="377">
        <f>O36</f>
        <v>4</v>
      </c>
      <c r="AF8" s="378">
        <f>S33</f>
        <v>0.154</v>
      </c>
      <c r="AH8" s="382" t="s">
        <v>912</v>
      </c>
      <c r="AI8" s="383">
        <f>VLOOKUP(AE8,P38:S42,2)</f>
        <v>1.6</v>
      </c>
      <c r="AJ8" s="384">
        <f>VLOOKUP(AE8,P38:S42,3)</f>
        <v>1.4</v>
      </c>
      <c r="AK8" s="384">
        <f>VLOOKUP(AE8,P38:S42,4)</f>
        <v>1.2</v>
      </c>
      <c r="AM8" s="3">
        <f t="shared" si="0"/>
        <v>0</v>
      </c>
      <c r="AN8" s="370">
        <v>0.11</v>
      </c>
      <c r="AO8" s="3" t="s">
        <v>1105</v>
      </c>
      <c r="AP8" s="142" t="s">
        <v>1104</v>
      </c>
      <c r="AQ8" s="3" t="e">
        <f>FIND(지진하중!$O$8,AP8,1)</f>
        <v>#VALUE!</v>
      </c>
      <c r="AR8" s="3">
        <f t="shared" si="1"/>
        <v>0</v>
      </c>
      <c r="AS8" s="4" t="str">
        <f t="shared" ref="AS8:AS34" si="2">IF(AR8=0,"",AO8)</f>
        <v/>
      </c>
      <c r="AT8" s="5" t="str">
        <f t="shared" ref="AT8:AT34" si="3">IF(AR8=0,"",MID(AP8,AQ8,4))</f>
        <v/>
      </c>
    </row>
    <row r="9" spans="1:46" s="7" customFormat="1" ht="15.95" customHeight="1" thickBot="1" x14ac:dyDescent="0.2">
      <c r="B9" s="8" t="s">
        <v>897</v>
      </c>
      <c r="C9" s="358" t="s">
        <v>913</v>
      </c>
      <c r="D9" s="358"/>
      <c r="E9" s="385" t="s">
        <v>914</v>
      </c>
      <c r="F9" s="359" t="str">
        <f>O11&amp;" "&amp;P11</f>
        <v>서울 특별시</v>
      </c>
      <c r="G9" s="358"/>
      <c r="H9" s="358"/>
      <c r="I9" s="358"/>
      <c r="J9" s="358"/>
      <c r="K9" s="358"/>
      <c r="L9" s="358"/>
      <c r="M9" s="358"/>
      <c r="O9" s="386"/>
      <c r="P9" s="444" t="str">
        <f>IF(O8="광주","경기도 1, 광역시 2",IF(O8="고성","강원도 3, 경상도 4","빈칸일것"))</f>
        <v>빈칸일것</v>
      </c>
      <c r="Q9" s="358"/>
      <c r="AC9" s="785"/>
      <c r="AD9" s="785"/>
      <c r="AE9" s="387" t="s">
        <v>915</v>
      </c>
      <c r="AF9" s="388">
        <f>IF(AF8&lt;=0.1,VLOOKUP(AE8,P38:S42,2),IF(AF8&gt;0.2,AJ13,AJ12))</f>
        <v>1.492</v>
      </c>
      <c r="AH9" s="382" t="s">
        <v>916</v>
      </c>
      <c r="AI9" s="384">
        <v>0.1</v>
      </c>
      <c r="AJ9" s="384">
        <v>0.2</v>
      </c>
      <c r="AK9" s="389">
        <v>0.3</v>
      </c>
      <c r="AM9" s="3">
        <f t="shared" si="0"/>
        <v>0</v>
      </c>
      <c r="AN9" s="370">
        <v>7.0000000000000007E-2</v>
      </c>
      <c r="AO9" s="3" t="s">
        <v>1103</v>
      </c>
      <c r="AP9" s="142" t="s">
        <v>922</v>
      </c>
      <c r="AQ9" s="3" t="e">
        <f>FIND(지진하중!$O$8,AP9,1)</f>
        <v>#VALUE!</v>
      </c>
      <c r="AR9" s="3">
        <f t="shared" si="1"/>
        <v>0</v>
      </c>
      <c r="AS9" s="4" t="str">
        <f t="shared" si="2"/>
        <v/>
      </c>
      <c r="AT9" s="5" t="str">
        <f t="shared" si="3"/>
        <v/>
      </c>
    </row>
    <row r="10" spans="1:46" s="7" customFormat="1" ht="15.95" customHeight="1" x14ac:dyDescent="0.15">
      <c r="B10" s="8" t="s">
        <v>897</v>
      </c>
      <c r="C10" s="358" t="s">
        <v>917</v>
      </c>
      <c r="D10" s="358"/>
      <c r="E10" s="385" t="s">
        <v>914</v>
      </c>
      <c r="F10" s="580">
        <v>16</v>
      </c>
      <c r="G10" s="357" t="s">
        <v>918</v>
      </c>
      <c r="H10" s="358"/>
      <c r="I10" s="358"/>
      <c r="J10" s="358"/>
      <c r="K10" s="358"/>
      <c r="L10" s="358"/>
      <c r="M10" s="358"/>
      <c r="N10" s="358" t="s">
        <v>919</v>
      </c>
      <c r="O10" s="390">
        <f>IF(O8="고성",IF(O9=3,0.07,IF(O9=4,0.11,"강원=3, 경남=4")),SUM(AR3:AR51))</f>
        <v>0.11</v>
      </c>
      <c r="P10" s="358"/>
      <c r="Q10" s="358"/>
      <c r="AC10" s="785" t="s">
        <v>920</v>
      </c>
      <c r="AD10" s="777">
        <v>2</v>
      </c>
      <c r="AE10" s="391">
        <v>4</v>
      </c>
      <c r="AF10" s="392">
        <v>0.154</v>
      </c>
      <c r="AH10" s="382" t="s">
        <v>912</v>
      </c>
      <c r="AI10" s="383">
        <f>VLOOKUP(AE10,P38:S42,2)</f>
        <v>1.6</v>
      </c>
      <c r="AJ10" s="384">
        <f>VLOOKUP(AE10,P38:S42,3)</f>
        <v>1.4</v>
      </c>
      <c r="AK10" s="384">
        <f>VLOOKUP(AE10,P38:S42,4)</f>
        <v>1.2</v>
      </c>
      <c r="AM10" s="3">
        <f t="shared" si="0"/>
        <v>0</v>
      </c>
      <c r="AN10" s="370">
        <v>0.11</v>
      </c>
      <c r="AO10" s="3" t="s">
        <v>1103</v>
      </c>
      <c r="AP10" s="142" t="s">
        <v>926</v>
      </c>
      <c r="AQ10" s="3" t="e">
        <f>FIND(지진하중!$O$8,AP10,1)</f>
        <v>#VALUE!</v>
      </c>
      <c r="AR10" s="3">
        <f t="shared" si="1"/>
        <v>0</v>
      </c>
      <c r="AS10" s="4" t="str">
        <f t="shared" si="2"/>
        <v/>
      </c>
      <c r="AT10" s="5" t="str">
        <f t="shared" si="3"/>
        <v/>
      </c>
    </row>
    <row r="11" spans="1:46" s="7" customFormat="1" ht="15.95" customHeight="1" thickBot="1" x14ac:dyDescent="0.2">
      <c r="B11" s="8" t="s">
        <v>897</v>
      </c>
      <c r="C11" s="358" t="s">
        <v>921</v>
      </c>
      <c r="D11" s="358"/>
      <c r="E11" s="385" t="s">
        <v>914</v>
      </c>
      <c r="F11" s="580">
        <f>F10</f>
        <v>16</v>
      </c>
      <c r="G11" s="357" t="s">
        <v>918</v>
      </c>
      <c r="H11" s="358"/>
      <c r="I11" s="358"/>
      <c r="J11" s="358"/>
      <c r="K11" s="358"/>
      <c r="L11" s="358"/>
      <c r="M11" s="358"/>
      <c r="N11" s="358" t="s">
        <v>1111</v>
      </c>
      <c r="O11" s="393" t="str">
        <f>IF(OR(O8="인천",O9=2,O8="대전",O8="부산",O8="대구",O8="울산",O8="세종",O8="서울"),O8,AS52)</f>
        <v>서울</v>
      </c>
      <c r="P11" s="394" t="str">
        <f>IF(OR(O9=2,O8="인천",O8="대전",O8="부산",O8="대구",O8="울산"),"광역시",IF(O8="세종","특별자치시",IF(O8="서울","특별시",IF(O9=2,"광역시",AT52))))</f>
        <v>특별시</v>
      </c>
      <c r="Q11" s="358"/>
      <c r="AC11" s="786"/>
      <c r="AD11" s="787"/>
      <c r="AE11" s="395" t="s">
        <v>915</v>
      </c>
      <c r="AF11" s="396">
        <f>IF(AF10&lt;=0.1,VLOOKUP(AE10,P38:S42,2),IF(AF10&gt;0.2,AJ15,AJ14))</f>
        <v>1.492</v>
      </c>
      <c r="AH11" s="382" t="s">
        <v>916</v>
      </c>
      <c r="AI11" s="384">
        <v>0.1</v>
      </c>
      <c r="AJ11" s="384">
        <v>0.2</v>
      </c>
      <c r="AK11" s="389">
        <v>0.3</v>
      </c>
      <c r="AM11" s="3">
        <f t="shared" si="0"/>
        <v>0</v>
      </c>
      <c r="AN11" s="370">
        <v>0.11</v>
      </c>
      <c r="AO11" s="143" t="s">
        <v>1099</v>
      </c>
      <c r="AP11" s="142" t="s">
        <v>1102</v>
      </c>
      <c r="AQ11" s="3" t="e">
        <f>FIND(지진하중!$O$8,AP11,1)</f>
        <v>#VALUE!</v>
      </c>
      <c r="AR11" s="3">
        <f t="shared" si="1"/>
        <v>0</v>
      </c>
      <c r="AS11" s="4" t="str">
        <f t="shared" si="2"/>
        <v/>
      </c>
      <c r="AT11" s="5" t="str">
        <f t="shared" si="3"/>
        <v/>
      </c>
    </row>
    <row r="12" spans="1:46" s="7" customFormat="1" ht="15.95" customHeight="1" thickBot="1" x14ac:dyDescent="0.2">
      <c r="B12" s="8" t="s">
        <v>897</v>
      </c>
      <c r="C12" s="358" t="s">
        <v>923</v>
      </c>
      <c r="D12" s="358"/>
      <c r="E12" s="385" t="s">
        <v>914</v>
      </c>
      <c r="F12" s="397">
        <f>O13</f>
        <v>1</v>
      </c>
      <c r="G12" s="357"/>
      <c r="H12" s="358"/>
      <c r="I12" s="358" t="str">
        <f>IF($O$13=1.5,"( 재현주기 : 2400년 )","( 재현주기 : 1000년 )")</f>
        <v>( 재현주기 : 1000년 )</v>
      </c>
      <c r="J12" s="358"/>
      <c r="K12" s="358"/>
      <c r="L12" s="358"/>
      <c r="M12" s="358"/>
      <c r="N12" s="398"/>
      <c r="O12" s="788" t="s">
        <v>924</v>
      </c>
      <c r="P12" s="789"/>
      <c r="Q12" s="789"/>
      <c r="R12" s="789"/>
      <c r="S12" s="789"/>
      <c r="T12" s="789"/>
      <c r="U12" s="790"/>
      <c r="V12" s="791" t="s">
        <v>925</v>
      </c>
      <c r="W12" s="792"/>
      <c r="AH12" s="379">
        <f>AF8</f>
        <v>0.154</v>
      </c>
      <c r="AI12" s="380" t="s">
        <v>295</v>
      </c>
      <c r="AJ12" s="381">
        <f>((AI8-AJ8)/(AI9-AJ9))*(AH12-AI9)+AI8</f>
        <v>1.492</v>
      </c>
      <c r="AM12" s="3">
        <f t="shared" si="0"/>
        <v>0</v>
      </c>
      <c r="AN12" s="370">
        <v>0.11</v>
      </c>
      <c r="AO12" s="143" t="s">
        <v>1099</v>
      </c>
      <c r="AP12" s="142" t="s">
        <v>1100</v>
      </c>
      <c r="AQ12" s="3" t="e">
        <f>FIND(지진하중!$O$8,AP12,1)</f>
        <v>#VALUE!</v>
      </c>
      <c r="AR12" s="3">
        <f t="shared" si="1"/>
        <v>0</v>
      </c>
      <c r="AS12" s="4" t="str">
        <f t="shared" si="2"/>
        <v/>
      </c>
      <c r="AT12" s="5" t="str">
        <f t="shared" si="3"/>
        <v/>
      </c>
    </row>
    <row r="13" spans="1:46" s="7" customFormat="1" ht="15.95" customHeight="1" x14ac:dyDescent="0.15">
      <c r="B13" s="8" t="s">
        <v>897</v>
      </c>
      <c r="C13" s="358" t="s">
        <v>927</v>
      </c>
      <c r="D13" s="358"/>
      <c r="E13" s="385" t="s">
        <v>914</v>
      </c>
      <c r="F13" s="397">
        <f>VLOOKUP($O$16,$P$16:$W$29,6)</f>
        <v>1</v>
      </c>
      <c r="G13" s="358"/>
      <c r="H13" s="358"/>
      <c r="I13" s="358" t="str">
        <f>VLOOKUP($O$16,$P$16:$W$29,2)</f>
        <v>( 비보강조적벽 )</v>
      </c>
      <c r="J13" s="358"/>
      <c r="K13" s="358"/>
      <c r="L13" s="358"/>
      <c r="M13" s="358"/>
      <c r="N13" s="751" t="s">
        <v>907</v>
      </c>
      <c r="O13" s="775">
        <v>1</v>
      </c>
      <c r="P13" s="399">
        <v>1.5</v>
      </c>
      <c r="Q13" s="777" t="s">
        <v>928</v>
      </c>
      <c r="R13" s="778"/>
      <c r="S13" s="778"/>
      <c r="T13" s="778"/>
      <c r="U13" s="779"/>
      <c r="V13" s="743" t="s">
        <v>929</v>
      </c>
      <c r="W13" s="780"/>
      <c r="AH13" s="379">
        <f>AF8</f>
        <v>0.154</v>
      </c>
      <c r="AI13" s="380" t="s">
        <v>295</v>
      </c>
      <c r="AJ13" s="381" t="b">
        <f>IF(AF8&gt;0.2,(((AJ8-AK8)/(AJ9-AK9))*(AH13-AJ9)+AJ8),FALSE)</f>
        <v>0</v>
      </c>
      <c r="AM13" s="3">
        <f t="shared" si="0"/>
        <v>0</v>
      </c>
      <c r="AN13" s="370">
        <v>0.11</v>
      </c>
      <c r="AO13" s="143" t="s">
        <v>1099</v>
      </c>
      <c r="AP13" s="142" t="s">
        <v>1101</v>
      </c>
      <c r="AQ13" s="3" t="e">
        <f>FIND(지진하중!$O$8,AP13,1)</f>
        <v>#VALUE!</v>
      </c>
      <c r="AR13" s="3">
        <f t="shared" si="1"/>
        <v>0</v>
      </c>
      <c r="AS13" s="4" t="str">
        <f t="shared" si="2"/>
        <v/>
      </c>
      <c r="AT13" s="5" t="str">
        <f t="shared" si="3"/>
        <v/>
      </c>
    </row>
    <row r="14" spans="1:46" s="7" customFormat="1" ht="15.95" customHeight="1" thickBot="1" x14ac:dyDescent="0.2">
      <c r="B14" s="358"/>
      <c r="C14" s="358"/>
      <c r="D14" s="358"/>
      <c r="E14" s="385" t="str">
        <f>IF($O$16=3,":",IF($O$16=4,":",""))</f>
        <v/>
      </c>
      <c r="F14" s="403" t="str">
        <f>IF($O$16=3,U22,"")</f>
        <v/>
      </c>
      <c r="G14" s="358"/>
      <c r="H14" s="358"/>
      <c r="I14" s="358" t="str">
        <f>IF($O$16=3,$Q$22,"")</f>
        <v/>
      </c>
      <c r="J14" s="358"/>
      <c r="K14" s="358"/>
      <c r="L14" s="358"/>
      <c r="M14" s="358"/>
      <c r="N14" s="752"/>
      <c r="O14" s="776"/>
      <c r="P14" s="404">
        <v>1</v>
      </c>
      <c r="Q14" s="781" t="s">
        <v>930</v>
      </c>
      <c r="R14" s="782"/>
      <c r="S14" s="782"/>
      <c r="T14" s="782"/>
      <c r="U14" s="783"/>
      <c r="V14" s="743" t="s">
        <v>931</v>
      </c>
      <c r="W14" s="780"/>
      <c r="AH14" s="379">
        <f>AF10</f>
        <v>0.154</v>
      </c>
      <c r="AI14" s="380" t="s">
        <v>295</v>
      </c>
      <c r="AJ14" s="381">
        <f>((AI10-AJ10)/(AI11-AJ11))*(AH14-AI11)+AI10</f>
        <v>1.492</v>
      </c>
      <c r="AM14" s="3">
        <f t="shared" si="0"/>
        <v>0</v>
      </c>
      <c r="AN14" s="370">
        <v>0.11</v>
      </c>
      <c r="AO14" s="143" t="s">
        <v>1099</v>
      </c>
      <c r="AP14" s="142" t="s">
        <v>1100</v>
      </c>
      <c r="AQ14" s="3" t="e">
        <f>FIND(지진하중!$O$8,AP14,1)</f>
        <v>#VALUE!</v>
      </c>
      <c r="AR14" s="3">
        <f t="shared" si="1"/>
        <v>0</v>
      </c>
      <c r="AS14" s="4" t="str">
        <f t="shared" si="2"/>
        <v/>
      </c>
      <c r="AT14" s="5" t="str">
        <f t="shared" si="3"/>
        <v/>
      </c>
    </row>
    <row r="15" spans="1:46" s="7" customFormat="1" ht="15.95" customHeight="1" thickBot="1" x14ac:dyDescent="0.2">
      <c r="B15" s="8" t="s">
        <v>897</v>
      </c>
      <c r="C15" s="358" t="s">
        <v>932</v>
      </c>
      <c r="D15" s="358"/>
      <c r="E15" s="385" t="s">
        <v>914</v>
      </c>
      <c r="F15" s="397">
        <f>VLOOKUP($O$16,$P$16:$W$29,7)</f>
        <v>1.5</v>
      </c>
      <c r="G15" s="358"/>
      <c r="H15" s="358"/>
      <c r="I15" s="358" t="str">
        <f>I13</f>
        <v>( 비보강조적벽 )</v>
      </c>
      <c r="J15" s="358"/>
      <c r="K15" s="358"/>
      <c r="L15" s="358"/>
      <c r="M15" s="358"/>
      <c r="N15" s="405"/>
      <c r="O15" s="765" t="s">
        <v>933</v>
      </c>
      <c r="P15" s="766"/>
      <c r="Q15" s="766"/>
      <c r="R15" s="766"/>
      <c r="S15" s="766"/>
      <c r="T15" s="766"/>
      <c r="U15" s="766"/>
      <c r="V15" s="766"/>
      <c r="W15" s="767"/>
      <c r="AH15" s="379">
        <f>AF10</f>
        <v>0.154</v>
      </c>
      <c r="AI15" s="380" t="s">
        <v>295</v>
      </c>
      <c r="AJ15" s="381" t="b">
        <f>IF(AF10&gt;0.2,(((AJ10-AK10)/(AJ11-AK11))*(AH15-AJ11)+AJ10),FALSE)</f>
        <v>0</v>
      </c>
      <c r="AM15" s="3">
        <f t="shared" si="0"/>
        <v>0</v>
      </c>
      <c r="AN15" s="370">
        <v>0.11</v>
      </c>
      <c r="AO15" s="143" t="s">
        <v>1099</v>
      </c>
      <c r="AP15" s="142" t="s">
        <v>1098</v>
      </c>
      <c r="AQ15" s="3" t="e">
        <f>FIND(지진하중!$O$8,AP15,1)</f>
        <v>#VALUE!</v>
      </c>
      <c r="AR15" s="3">
        <f t="shared" si="1"/>
        <v>0</v>
      </c>
      <c r="AS15" s="4" t="str">
        <f t="shared" si="2"/>
        <v/>
      </c>
      <c r="AT15" s="5" t="str">
        <f t="shared" si="3"/>
        <v/>
      </c>
    </row>
    <row r="16" spans="1:46" s="7" customFormat="1" ht="15.95" customHeight="1" x14ac:dyDescent="0.15">
      <c r="B16" s="8"/>
      <c r="C16" s="358"/>
      <c r="D16" s="358"/>
      <c r="E16" s="385" t="str">
        <f>IF($O$16=3,":",IF($O$16=4,":",""))</f>
        <v/>
      </c>
      <c r="F16" s="397" t="str">
        <f>IF($O$16=3,V22,"")</f>
        <v/>
      </c>
      <c r="G16" s="358"/>
      <c r="H16" s="358"/>
      <c r="I16" s="358" t="str">
        <f>I14</f>
        <v/>
      </c>
      <c r="J16" s="358"/>
      <c r="K16" s="358"/>
      <c r="L16" s="358"/>
      <c r="M16" s="358"/>
      <c r="N16" s="751" t="s">
        <v>907</v>
      </c>
      <c r="O16" s="768">
        <v>1</v>
      </c>
      <c r="P16" s="406"/>
      <c r="Q16" s="407" t="s">
        <v>934</v>
      </c>
      <c r="R16" s="408"/>
      <c r="S16" s="408"/>
      <c r="T16" s="400"/>
      <c r="U16" s="401" t="s">
        <v>935</v>
      </c>
      <c r="V16" s="401" t="s">
        <v>936</v>
      </c>
      <c r="W16" s="409" t="s">
        <v>937</v>
      </c>
      <c r="AM16" s="3">
        <f t="shared" si="0"/>
        <v>0</v>
      </c>
      <c r="AN16" s="370">
        <v>0.11</v>
      </c>
      <c r="AO16" s="144" t="s">
        <v>1092</v>
      </c>
      <c r="AP16" s="142" t="s">
        <v>1097</v>
      </c>
      <c r="AQ16" s="3" t="e">
        <f>FIND(지진하중!$O$8,AP16,1)</f>
        <v>#VALUE!</v>
      </c>
      <c r="AR16" s="3">
        <f t="shared" si="1"/>
        <v>0</v>
      </c>
      <c r="AS16" s="4" t="str">
        <f t="shared" si="2"/>
        <v/>
      </c>
      <c r="AT16" s="5" t="str">
        <f t="shared" si="3"/>
        <v/>
      </c>
    </row>
    <row r="17" spans="2:46" s="7" customFormat="1" ht="15.95" customHeight="1" thickBot="1" x14ac:dyDescent="0.2">
      <c r="B17" s="8" t="s">
        <v>897</v>
      </c>
      <c r="C17" s="358" t="s">
        <v>938</v>
      </c>
      <c r="D17" s="358"/>
      <c r="E17" s="385" t="s">
        <v>914</v>
      </c>
      <c r="F17" s="397">
        <f>IF($O$16=3,$W$22,IF($O$16=4,$W$22,VLOOKUP($O$16,$P$16:$W$29,8)))</f>
        <v>1.5</v>
      </c>
      <c r="G17" s="358"/>
      <c r="H17" s="358"/>
      <c r="I17" s="358" t="str">
        <f>IF($O$16=3,$Q$22,IF($O$16=4,$Q$22,VLOOKUP($O$16,$P$16:$W$29,2)))</f>
        <v>( 비보강조적벽 )</v>
      </c>
      <c r="J17" s="358"/>
      <c r="K17" s="358"/>
      <c r="L17" s="358"/>
      <c r="M17" s="358"/>
      <c r="N17" s="752"/>
      <c r="O17" s="769"/>
      <c r="P17" s="410"/>
      <c r="Q17" s="411" t="s">
        <v>939</v>
      </c>
      <c r="R17" s="412"/>
      <c r="S17" s="413"/>
      <c r="T17" s="413"/>
      <c r="U17" s="412"/>
      <c r="V17" s="412"/>
      <c r="W17" s="414"/>
      <c r="AM17" s="3">
        <f t="shared" si="0"/>
        <v>0</v>
      </c>
      <c r="AN17" s="370">
        <v>0.11</v>
      </c>
      <c r="AO17" s="144" t="s">
        <v>1092</v>
      </c>
      <c r="AP17" s="142" t="s">
        <v>1096</v>
      </c>
      <c r="AQ17" s="3" t="e">
        <f>FIND(지진하중!$O$8,AP17,1)</f>
        <v>#VALUE!</v>
      </c>
      <c r="AR17" s="3">
        <f t="shared" si="1"/>
        <v>0</v>
      </c>
      <c r="AS17" s="4" t="str">
        <f t="shared" si="2"/>
        <v/>
      </c>
      <c r="AT17" s="5" t="str">
        <f t="shared" si="3"/>
        <v/>
      </c>
    </row>
    <row r="18" spans="2:46" s="7" customFormat="1" ht="15.95" customHeight="1" x14ac:dyDescent="0.15">
      <c r="B18" s="8" t="s">
        <v>897</v>
      </c>
      <c r="C18" s="358" t="s">
        <v>940</v>
      </c>
      <c r="D18" s="358"/>
      <c r="E18" s="385" t="s">
        <v>914</v>
      </c>
      <c r="F18" s="358">
        <f>IF(AD7=1,AF8,AF10)</f>
        <v>0.154</v>
      </c>
      <c r="G18" s="774">
        <f>IF(AD7=1,AE8,AE10)</f>
        <v>4</v>
      </c>
      <c r="H18" s="774"/>
      <c r="I18" s="358" t="s">
        <v>941</v>
      </c>
      <c r="J18" s="358"/>
      <c r="K18" s="358"/>
      <c r="L18" s="358"/>
      <c r="M18" s="358"/>
      <c r="N18" s="405"/>
      <c r="O18" s="358"/>
      <c r="P18" s="389">
        <v>1</v>
      </c>
      <c r="Q18" s="415" t="s">
        <v>942</v>
      </c>
      <c r="R18" s="412"/>
      <c r="S18" s="770" t="s">
        <v>943</v>
      </c>
      <c r="T18" s="771"/>
      <c r="U18" s="416">
        <v>1</v>
      </c>
      <c r="V18" s="389">
        <v>1.5</v>
      </c>
      <c r="W18" s="417">
        <v>1.5</v>
      </c>
      <c r="AM18" s="3">
        <f t="shared" si="0"/>
        <v>0</v>
      </c>
      <c r="AN18" s="370">
        <v>0.11</v>
      </c>
      <c r="AO18" s="144" t="s">
        <v>1092</v>
      </c>
      <c r="AP18" s="142" t="s">
        <v>1095</v>
      </c>
      <c r="AQ18" s="3" t="e">
        <f>FIND(지진하중!$O$8,AP18,1)</f>
        <v>#VALUE!</v>
      </c>
      <c r="AR18" s="3">
        <f t="shared" si="1"/>
        <v>0</v>
      </c>
      <c r="AS18" s="4" t="str">
        <f t="shared" si="2"/>
        <v/>
      </c>
      <c r="AT18" s="5" t="str">
        <f t="shared" si="3"/>
        <v/>
      </c>
    </row>
    <row r="19" spans="2:46" s="7" customFormat="1" ht="15.95" customHeight="1" thickBot="1" x14ac:dyDescent="0.2">
      <c r="B19" s="8" t="s">
        <v>897</v>
      </c>
      <c r="C19" s="358" t="s">
        <v>944</v>
      </c>
      <c r="D19" s="358"/>
      <c r="E19" s="385" t="s">
        <v>914</v>
      </c>
      <c r="F19" s="418">
        <f>IF(AD7=1,AF9,AF11)</f>
        <v>1.492</v>
      </c>
      <c r="G19" s="358"/>
      <c r="H19" s="358"/>
      <c r="I19" s="358" t="s">
        <v>945</v>
      </c>
      <c r="J19" s="358"/>
      <c r="K19" s="358"/>
      <c r="L19" s="358"/>
      <c r="M19" s="358"/>
      <c r="N19" s="405"/>
      <c r="O19" s="358"/>
      <c r="P19" s="389">
        <v>2</v>
      </c>
      <c r="Q19" s="415" t="s">
        <v>946</v>
      </c>
      <c r="R19" s="412"/>
      <c r="S19" s="772"/>
      <c r="T19" s="773"/>
      <c r="U19" s="416">
        <v>1</v>
      </c>
      <c r="V19" s="389">
        <v>2.5</v>
      </c>
      <c r="W19" s="417">
        <v>2</v>
      </c>
      <c r="AM19" s="3">
        <f t="shared" si="0"/>
        <v>0</v>
      </c>
      <c r="AN19" s="370">
        <v>0.11</v>
      </c>
      <c r="AO19" s="144" t="s">
        <v>1092</v>
      </c>
      <c r="AP19" s="142" t="s">
        <v>1094</v>
      </c>
      <c r="AQ19" s="3" t="e">
        <f>FIND(지진하중!$O$8,AP19,1)</f>
        <v>#VALUE!</v>
      </c>
      <c r="AR19" s="3">
        <f t="shared" si="1"/>
        <v>0</v>
      </c>
      <c r="AS19" s="4" t="str">
        <f t="shared" si="2"/>
        <v/>
      </c>
      <c r="AT19" s="5" t="str">
        <f t="shared" si="3"/>
        <v/>
      </c>
    </row>
    <row r="20" spans="2:46" s="7" customFormat="1" ht="15.95" customHeight="1" thickBot="1" x14ac:dyDescent="0.2">
      <c r="B20" s="8" t="s">
        <v>897</v>
      </c>
      <c r="C20" s="358" t="s">
        <v>947</v>
      </c>
      <c r="D20" s="358"/>
      <c r="E20" s="385" t="s">
        <v>914</v>
      </c>
      <c r="F20" s="420" t="s">
        <v>948</v>
      </c>
      <c r="G20" s="421"/>
      <c r="H20" s="358"/>
      <c r="I20" s="358" t="s">
        <v>949</v>
      </c>
      <c r="J20" s="358"/>
      <c r="K20" s="358"/>
      <c r="L20" s="358"/>
      <c r="M20" s="358"/>
      <c r="N20" s="405"/>
      <c r="O20" s="358"/>
      <c r="P20" s="389"/>
      <c r="Q20" s="411" t="s">
        <v>950</v>
      </c>
      <c r="R20" s="412"/>
      <c r="S20" s="419"/>
      <c r="T20" s="419"/>
      <c r="U20" s="412"/>
      <c r="V20" s="412"/>
      <c r="W20" s="414"/>
      <c r="AM20" s="3">
        <f t="shared" si="0"/>
        <v>0</v>
      </c>
      <c r="AN20" s="370">
        <v>0.11</v>
      </c>
      <c r="AO20" s="144" t="s">
        <v>1092</v>
      </c>
      <c r="AP20" s="142" t="s">
        <v>1093</v>
      </c>
      <c r="AQ20" s="3" t="e">
        <f>FIND(지진하중!$O$8,AP20,1)</f>
        <v>#VALUE!</v>
      </c>
      <c r="AR20" s="3">
        <f t="shared" si="1"/>
        <v>0</v>
      </c>
      <c r="AS20" s="4" t="str">
        <f t="shared" si="2"/>
        <v/>
      </c>
      <c r="AT20" s="5" t="str">
        <f t="shared" si="3"/>
        <v/>
      </c>
    </row>
    <row r="21" spans="2:46" s="7" customFormat="1" ht="15.95" customHeight="1" x14ac:dyDescent="0.15">
      <c r="B21" s="358"/>
      <c r="C21" s="358"/>
      <c r="D21" s="358"/>
      <c r="E21" s="385" t="s">
        <v>914</v>
      </c>
      <c r="F21" s="422">
        <f>F18*2.5*F19*2/3</f>
        <v>0.38294666666666671</v>
      </c>
      <c r="G21" s="358"/>
      <c r="H21" s="422"/>
      <c r="I21" s="358"/>
      <c r="J21" s="358"/>
      <c r="K21" s="358"/>
      <c r="L21" s="358"/>
      <c r="M21" s="358"/>
      <c r="N21" s="405"/>
      <c r="O21" s="358"/>
      <c r="P21" s="389">
        <v>3</v>
      </c>
      <c r="Q21" s="415" t="s">
        <v>951</v>
      </c>
      <c r="R21" s="412"/>
      <c r="S21" s="770" t="s">
        <v>952</v>
      </c>
      <c r="T21" s="771"/>
      <c r="U21" s="416">
        <v>1</v>
      </c>
      <c r="V21" s="389">
        <v>2.5</v>
      </c>
      <c r="W21" s="417" t="s">
        <v>953</v>
      </c>
      <c r="AM21" s="3">
        <f t="shared" si="0"/>
        <v>0</v>
      </c>
      <c r="AN21" s="370">
        <v>0.11</v>
      </c>
      <c r="AO21" s="144" t="s">
        <v>1092</v>
      </c>
      <c r="AP21" s="142" t="s">
        <v>1091</v>
      </c>
      <c r="AQ21" s="3" t="e">
        <f>FIND(지진하중!$O$8,AP21,1)</f>
        <v>#VALUE!</v>
      </c>
      <c r="AR21" s="3">
        <f t="shared" si="1"/>
        <v>0</v>
      </c>
      <c r="AS21" s="4" t="str">
        <f t="shared" si="2"/>
        <v/>
      </c>
      <c r="AT21" s="5" t="str">
        <f t="shared" si="3"/>
        <v/>
      </c>
    </row>
    <row r="22" spans="2:46" s="7" customFormat="1" ht="15.95" customHeight="1" thickBot="1" x14ac:dyDescent="0.2">
      <c r="B22" s="8" t="s">
        <v>897</v>
      </c>
      <c r="C22" s="423" t="s">
        <v>954</v>
      </c>
      <c r="D22" s="358"/>
      <c r="E22" s="385" t="s">
        <v>914</v>
      </c>
      <c r="F22" s="654">
        <v>0.5</v>
      </c>
      <c r="G22" s="358" t="s">
        <v>955</v>
      </c>
      <c r="H22" s="358"/>
      <c r="I22" s="358" t="str">
        <f>IF(AC33&lt;0.2,"( 최소 가동중량 Wp = 0.2kN/㎡)","( 가동중량 Wp )")</f>
        <v>( 최소 가동중량 Wp = 0.2kN/㎡)</v>
      </c>
      <c r="J22" s="358"/>
      <c r="K22" s="358"/>
      <c r="L22" s="358"/>
      <c r="M22" s="358"/>
      <c r="N22" s="405"/>
      <c r="O22" s="358"/>
      <c r="P22" s="389" t="s">
        <v>956</v>
      </c>
      <c r="Q22" s="415" t="s">
        <v>957</v>
      </c>
      <c r="R22" s="412"/>
      <c r="S22" s="772"/>
      <c r="T22" s="773"/>
      <c r="U22" s="416">
        <v>1.25</v>
      </c>
      <c r="V22" s="389">
        <v>1</v>
      </c>
      <c r="W22" s="417">
        <v>1</v>
      </c>
      <c r="AM22" s="3">
        <f t="shared" si="0"/>
        <v>0</v>
      </c>
      <c r="AN22" s="370">
        <v>0.11</v>
      </c>
      <c r="AO22" s="143" t="s">
        <v>1081</v>
      </c>
      <c r="AP22" s="142" t="s">
        <v>1090</v>
      </c>
      <c r="AQ22" s="3" t="e">
        <f>FIND(지진하중!$O$8,AP22,1)</f>
        <v>#VALUE!</v>
      </c>
      <c r="AR22" s="3">
        <f t="shared" si="1"/>
        <v>0</v>
      </c>
      <c r="AS22" s="4" t="str">
        <f t="shared" si="2"/>
        <v/>
      </c>
      <c r="AT22" s="5" t="str">
        <f t="shared" si="3"/>
        <v/>
      </c>
    </row>
    <row r="23" spans="2:46" s="7" customFormat="1" ht="15.95" customHeight="1" x14ac:dyDescent="0.15">
      <c r="B23" s="358"/>
      <c r="C23" s="358"/>
      <c r="D23" s="358"/>
      <c r="E23" s="358"/>
      <c r="F23" s="358"/>
      <c r="G23" s="358"/>
      <c r="H23" s="358"/>
      <c r="I23" s="358"/>
      <c r="J23" s="358"/>
      <c r="K23" s="358"/>
      <c r="L23" s="358"/>
      <c r="M23" s="358"/>
      <c r="N23" s="405"/>
      <c r="O23" s="358"/>
      <c r="P23" s="389"/>
      <c r="Q23" s="424" t="s">
        <v>958</v>
      </c>
      <c r="R23" s="413"/>
      <c r="S23" s="419"/>
      <c r="T23" s="419"/>
      <c r="U23" s="412"/>
      <c r="V23" s="412"/>
      <c r="W23" s="414"/>
      <c r="AM23" s="3">
        <f t="shared" si="0"/>
        <v>0</v>
      </c>
      <c r="AN23" s="370">
        <v>0.11</v>
      </c>
      <c r="AO23" s="143" t="s">
        <v>1081</v>
      </c>
      <c r="AP23" s="142" t="s">
        <v>1089</v>
      </c>
      <c r="AQ23" s="3" t="e">
        <f>FIND(지진하중!$O$8,AP23,1)</f>
        <v>#VALUE!</v>
      </c>
      <c r="AR23" s="3">
        <f t="shared" si="1"/>
        <v>0</v>
      </c>
      <c r="AS23" s="4" t="str">
        <f t="shared" si="2"/>
        <v/>
      </c>
      <c r="AT23" s="5" t="str">
        <f t="shared" si="3"/>
        <v/>
      </c>
    </row>
    <row r="24" spans="2:46" s="7" customFormat="1" ht="15.95" customHeight="1" thickBot="1" x14ac:dyDescent="0.2">
      <c r="B24" s="358"/>
      <c r="C24" s="358"/>
      <c r="D24" s="358"/>
      <c r="E24" s="358"/>
      <c r="F24" s="358"/>
      <c r="G24" s="358"/>
      <c r="H24" s="358"/>
      <c r="I24" s="358"/>
      <c r="J24" s="358"/>
      <c r="K24" s="358"/>
      <c r="L24" s="358"/>
      <c r="M24" s="358"/>
      <c r="N24" s="405"/>
      <c r="O24" s="358"/>
      <c r="P24" s="389">
        <v>5</v>
      </c>
      <c r="Q24" s="425" t="s">
        <v>959</v>
      </c>
      <c r="R24" s="412"/>
      <c r="S24" s="426"/>
      <c r="T24" s="416"/>
      <c r="U24" s="416">
        <v>1</v>
      </c>
      <c r="V24" s="389">
        <v>2.5</v>
      </c>
      <c r="W24" s="417">
        <v>2</v>
      </c>
      <c r="AM24" s="3">
        <f t="shared" si="0"/>
        <v>0</v>
      </c>
      <c r="AN24" s="370">
        <v>0.11</v>
      </c>
      <c r="AO24" s="143" t="s">
        <v>1081</v>
      </c>
      <c r="AP24" s="142" t="s">
        <v>1088</v>
      </c>
      <c r="AQ24" s="3" t="e">
        <f>FIND(지진하중!$O$8,AP24,1)</f>
        <v>#VALUE!</v>
      </c>
      <c r="AR24" s="3">
        <f t="shared" si="1"/>
        <v>0</v>
      </c>
      <c r="AS24" s="4" t="str">
        <f t="shared" si="2"/>
        <v/>
      </c>
      <c r="AT24" s="5" t="str">
        <f t="shared" si="3"/>
        <v/>
      </c>
    </row>
    <row r="25" spans="2:46" s="7" customFormat="1" ht="15.95" customHeight="1" thickBot="1" x14ac:dyDescent="0.2">
      <c r="B25" s="12" t="s">
        <v>960</v>
      </c>
      <c r="C25" s="373"/>
      <c r="D25" s="358"/>
      <c r="E25" s="358"/>
      <c r="F25" s="358"/>
      <c r="G25" s="358"/>
      <c r="H25" s="358"/>
      <c r="I25" s="358"/>
      <c r="J25" s="358"/>
      <c r="K25" s="358"/>
      <c r="L25" s="358"/>
      <c r="M25" s="358"/>
      <c r="N25" s="405"/>
      <c r="O25" s="358"/>
      <c r="P25" s="389">
        <v>6</v>
      </c>
      <c r="Q25" s="427" t="s">
        <v>961</v>
      </c>
      <c r="R25" s="408"/>
      <c r="S25" s="763" t="s">
        <v>962</v>
      </c>
      <c r="T25" s="764"/>
      <c r="U25" s="389">
        <v>1</v>
      </c>
      <c r="V25" s="389">
        <v>1.5</v>
      </c>
      <c r="W25" s="417">
        <v>2</v>
      </c>
      <c r="AM25" s="3">
        <f t="shared" si="0"/>
        <v>0</v>
      </c>
      <c r="AN25" s="370">
        <v>0.11</v>
      </c>
      <c r="AO25" s="143" t="s">
        <v>1087</v>
      </c>
      <c r="AP25" s="142" t="s">
        <v>1086</v>
      </c>
      <c r="AQ25" s="3" t="e">
        <f>FIND(지진하중!$O$8,AP25,1)</f>
        <v>#VALUE!</v>
      </c>
      <c r="AR25" s="3">
        <f t="shared" si="1"/>
        <v>0</v>
      </c>
      <c r="AS25" s="4" t="str">
        <f t="shared" si="2"/>
        <v/>
      </c>
      <c r="AT25" s="5" t="str">
        <f t="shared" si="3"/>
        <v/>
      </c>
    </row>
    <row r="26" spans="2:46" s="7" customFormat="1" ht="15.95" customHeight="1" thickBot="1" x14ac:dyDescent="0.2">
      <c r="B26" s="358"/>
      <c r="C26" s="358"/>
      <c r="D26" s="358"/>
      <c r="E26" s="420"/>
      <c r="F26" s="12"/>
      <c r="G26" s="358"/>
      <c r="H26" s="358"/>
      <c r="I26" s="358"/>
      <c r="J26" s="358"/>
      <c r="K26" s="358"/>
      <c r="L26" s="358"/>
      <c r="M26" s="358"/>
      <c r="N26" s="405"/>
      <c r="O26" s="358"/>
      <c r="P26" s="389">
        <v>7</v>
      </c>
      <c r="Q26" s="425" t="s">
        <v>963</v>
      </c>
      <c r="R26" s="412"/>
      <c r="S26" s="413"/>
      <c r="T26" s="428"/>
      <c r="U26" s="389">
        <v>2.5</v>
      </c>
      <c r="V26" s="389">
        <v>3.5</v>
      </c>
      <c r="W26" s="417">
        <v>2</v>
      </c>
      <c r="AM26" s="3">
        <f t="shared" si="0"/>
        <v>0</v>
      </c>
      <c r="AN26" s="370">
        <v>0.11</v>
      </c>
      <c r="AO26" s="143" t="s">
        <v>1081</v>
      </c>
      <c r="AP26" s="142" t="s">
        <v>1085</v>
      </c>
      <c r="AQ26" s="3" t="e">
        <f>FIND(지진하중!$O$8,AP26,1)</f>
        <v>#VALUE!</v>
      </c>
      <c r="AR26" s="3">
        <f t="shared" si="1"/>
        <v>0</v>
      </c>
      <c r="AS26" s="4" t="str">
        <f t="shared" si="2"/>
        <v/>
      </c>
      <c r="AT26" s="5" t="str">
        <f t="shared" si="3"/>
        <v/>
      </c>
    </row>
    <row r="27" spans="2:46" s="7" customFormat="1" ht="15.95" customHeight="1" thickBot="1" x14ac:dyDescent="0.2">
      <c r="B27" s="8" t="s">
        <v>897</v>
      </c>
      <c r="C27" s="358" t="s">
        <v>964</v>
      </c>
      <c r="D27" s="358"/>
      <c r="E27" s="358"/>
      <c r="F27" s="358"/>
      <c r="G27" s="358"/>
      <c r="H27" s="358"/>
      <c r="I27" s="358"/>
      <c r="J27" s="358"/>
      <c r="K27" s="358"/>
      <c r="L27" s="358"/>
      <c r="M27" s="358"/>
      <c r="N27" s="405"/>
      <c r="O27" s="358"/>
      <c r="P27" s="389">
        <v>8</v>
      </c>
      <c r="Q27" s="415" t="s">
        <v>965</v>
      </c>
      <c r="R27" s="412"/>
      <c r="S27" s="763" t="s">
        <v>966</v>
      </c>
      <c r="T27" s="764"/>
      <c r="U27" s="416">
        <v>1</v>
      </c>
      <c r="V27" s="389">
        <v>2.5</v>
      </c>
      <c r="W27" s="417">
        <v>2</v>
      </c>
      <c r="AM27" s="3">
        <f t="shared" si="0"/>
        <v>0</v>
      </c>
      <c r="AN27" s="370">
        <v>0.11</v>
      </c>
      <c r="AO27" s="143" t="s">
        <v>1081</v>
      </c>
      <c r="AP27" s="142" t="s">
        <v>1084</v>
      </c>
      <c r="AQ27" s="3" t="e">
        <f>FIND(지진하중!$O$8,AP27,1)</f>
        <v>#VALUE!</v>
      </c>
      <c r="AR27" s="3">
        <f t="shared" si="1"/>
        <v>0</v>
      </c>
      <c r="AS27" s="4" t="str">
        <f t="shared" si="2"/>
        <v/>
      </c>
      <c r="AT27" s="5" t="str">
        <f t="shared" si="3"/>
        <v/>
      </c>
    </row>
    <row r="28" spans="2:46" s="7" customFormat="1" ht="15.95" customHeight="1" thickBot="1" x14ac:dyDescent="0.2">
      <c r="B28" s="358"/>
      <c r="C28" s="358"/>
      <c r="D28" s="358"/>
      <c r="E28" s="358"/>
      <c r="F28" s="358"/>
      <c r="G28" s="358"/>
      <c r="H28" s="358"/>
      <c r="I28" s="358"/>
      <c r="J28" s="358"/>
      <c r="K28" s="358"/>
      <c r="L28" s="358"/>
      <c r="M28" s="358"/>
      <c r="N28" s="405"/>
      <c r="O28" s="358"/>
      <c r="P28" s="389">
        <v>9</v>
      </c>
      <c r="Q28" s="425" t="s">
        <v>967</v>
      </c>
      <c r="R28" s="412"/>
      <c r="S28" s="408"/>
      <c r="T28" s="400"/>
      <c r="U28" s="389">
        <v>2.5</v>
      </c>
      <c r="V28" s="389">
        <v>2.5</v>
      </c>
      <c r="W28" s="417">
        <v>2.5</v>
      </c>
      <c r="AM28" s="3">
        <f t="shared" si="0"/>
        <v>0</v>
      </c>
      <c r="AN28" s="370">
        <v>0.11</v>
      </c>
      <c r="AO28" s="143" t="s">
        <v>1081</v>
      </c>
      <c r="AP28" s="142" t="s">
        <v>1083</v>
      </c>
      <c r="AQ28" s="3" t="e">
        <f>FIND(지진하중!$O$8,AP28,1)</f>
        <v>#VALUE!</v>
      </c>
      <c r="AR28" s="3">
        <f t="shared" si="1"/>
        <v>0</v>
      </c>
      <c r="AS28" s="4" t="str">
        <f t="shared" si="2"/>
        <v/>
      </c>
      <c r="AT28" s="5" t="str">
        <f t="shared" si="3"/>
        <v/>
      </c>
    </row>
    <row r="29" spans="2:46" s="7" customFormat="1" ht="15.95" customHeight="1" thickBot="1" x14ac:dyDescent="0.2">
      <c r="B29" s="358"/>
      <c r="C29" s="420" t="s">
        <v>968</v>
      </c>
      <c r="D29" s="20" t="s">
        <v>643</v>
      </c>
      <c r="E29" s="358"/>
      <c r="F29" s="358"/>
      <c r="G29" s="358"/>
      <c r="H29" s="358"/>
      <c r="I29" s="358"/>
      <c r="J29" s="358"/>
      <c r="K29" s="358"/>
      <c r="L29" s="358"/>
      <c r="M29" s="358"/>
      <c r="N29" s="429"/>
      <c r="O29" s="358"/>
      <c r="P29" s="389">
        <v>10</v>
      </c>
      <c r="Q29" s="415" t="s">
        <v>969</v>
      </c>
      <c r="R29" s="412"/>
      <c r="S29" s="763" t="s">
        <v>970</v>
      </c>
      <c r="T29" s="764"/>
      <c r="U29" s="389">
        <v>2.5</v>
      </c>
      <c r="V29" s="389">
        <v>2.5</v>
      </c>
      <c r="W29" s="417">
        <v>2</v>
      </c>
      <c r="AM29" s="3">
        <f t="shared" si="0"/>
        <v>0</v>
      </c>
      <c r="AN29" s="370">
        <v>0.11</v>
      </c>
      <c r="AO29" s="143" t="s">
        <v>1081</v>
      </c>
      <c r="AP29" s="142" t="s">
        <v>1082</v>
      </c>
      <c r="AQ29" s="3" t="e">
        <f>FIND(지진하중!$O$8,AP29,1)</f>
        <v>#VALUE!</v>
      </c>
      <c r="AR29" s="3">
        <f t="shared" si="1"/>
        <v>0</v>
      </c>
      <c r="AS29" s="4" t="str">
        <f t="shared" si="2"/>
        <v/>
      </c>
      <c r="AT29" s="5" t="str">
        <f t="shared" si="3"/>
        <v/>
      </c>
    </row>
    <row r="30" spans="2:46" s="7" customFormat="1" ht="15.95" customHeight="1" x14ac:dyDescent="0.15">
      <c r="B30" s="358"/>
      <c r="C30" s="358"/>
      <c r="D30" s="358"/>
      <c r="E30" s="358"/>
      <c r="F30" s="358"/>
      <c r="G30" s="358"/>
      <c r="H30" s="358"/>
      <c r="I30" s="358"/>
      <c r="J30" s="358"/>
      <c r="K30" s="358"/>
      <c r="L30" s="358"/>
      <c r="M30" s="358"/>
      <c r="N30" s="429"/>
      <c r="O30" s="358"/>
      <c r="P30" s="760" t="s">
        <v>971</v>
      </c>
      <c r="Q30" s="761"/>
      <c r="R30" s="761"/>
      <c r="S30" s="762"/>
      <c r="T30" s="358"/>
      <c r="U30" s="358"/>
      <c r="V30" s="358"/>
      <c r="W30" s="402"/>
      <c r="AM30" s="3">
        <f t="shared" si="0"/>
        <v>0</v>
      </c>
      <c r="AN30" s="370">
        <v>0.11</v>
      </c>
      <c r="AO30" s="143" t="s">
        <v>1081</v>
      </c>
      <c r="AP30" s="142" t="s">
        <v>1080</v>
      </c>
      <c r="AQ30" s="3" t="e">
        <f>FIND(지진하중!$O$8,AP30,1)</f>
        <v>#VALUE!</v>
      </c>
      <c r="AR30" s="3">
        <f t="shared" si="1"/>
        <v>0</v>
      </c>
      <c r="AS30" s="4" t="str">
        <f t="shared" si="2"/>
        <v/>
      </c>
      <c r="AT30" s="5" t="str">
        <f t="shared" si="3"/>
        <v/>
      </c>
    </row>
    <row r="31" spans="2:46" s="7" customFormat="1" ht="15.95" customHeight="1" x14ac:dyDescent="0.15">
      <c r="B31" s="358"/>
      <c r="C31" s="358"/>
      <c r="D31" s="20" t="s">
        <v>643</v>
      </c>
      <c r="E31" s="422">
        <f>(0.4*F13*F21*F22)/(F15/F12)*(1+2*F11/F10)</f>
        <v>0.15317866666666669</v>
      </c>
      <c r="F31" s="358" t="s">
        <v>955</v>
      </c>
      <c r="G31" s="358"/>
      <c r="H31" s="358"/>
      <c r="I31" s="430"/>
      <c r="J31" s="358"/>
      <c r="K31" s="358"/>
      <c r="L31" s="358"/>
      <c r="M31" s="358"/>
      <c r="N31" s="429"/>
      <c r="O31" s="358"/>
      <c r="P31" s="757" t="s">
        <v>972</v>
      </c>
      <c r="Q31" s="758"/>
      <c r="R31" s="759"/>
      <c r="S31" s="389">
        <f>O10</f>
        <v>0.11</v>
      </c>
      <c r="T31" s="358"/>
      <c r="U31" s="358"/>
      <c r="V31" s="358"/>
      <c r="W31" s="402"/>
      <c r="AM31" s="3">
        <f t="shared" si="0"/>
        <v>0</v>
      </c>
      <c r="AN31" s="370">
        <v>0.11</v>
      </c>
      <c r="AO31" s="144" t="s">
        <v>1070</v>
      </c>
      <c r="AP31" s="142" t="s">
        <v>1079</v>
      </c>
      <c r="AQ31" s="3" t="e">
        <f>FIND(지진하중!$O$8,AP31,1)</f>
        <v>#VALUE!</v>
      </c>
      <c r="AR31" s="3">
        <f t="shared" si="1"/>
        <v>0</v>
      </c>
      <c r="AS31" s="4" t="str">
        <f t="shared" si="2"/>
        <v/>
      </c>
      <c r="AT31" s="5" t="str">
        <f t="shared" si="3"/>
        <v/>
      </c>
    </row>
    <row r="32" spans="2:46" s="7" customFormat="1" ht="15.95" customHeight="1" x14ac:dyDescent="0.15">
      <c r="B32" s="358"/>
      <c r="C32" s="420" t="s">
        <v>973</v>
      </c>
      <c r="D32" s="20" t="s">
        <v>643</v>
      </c>
      <c r="E32" s="420" t="s">
        <v>974</v>
      </c>
      <c r="F32" s="358"/>
      <c r="G32" s="358"/>
      <c r="H32" s="358"/>
      <c r="I32" s="358"/>
      <c r="J32" s="358"/>
      <c r="K32" s="358"/>
      <c r="L32" s="358"/>
      <c r="M32" s="358"/>
      <c r="N32" s="429"/>
      <c r="O32" s="358"/>
      <c r="P32" s="757" t="s">
        <v>975</v>
      </c>
      <c r="Q32" s="758"/>
      <c r="R32" s="759"/>
      <c r="S32" s="389">
        <f>IF(O13=1,1.4,2)</f>
        <v>1.4</v>
      </c>
      <c r="T32" s="358"/>
      <c r="U32" s="358"/>
      <c r="V32" s="358"/>
      <c r="W32" s="402"/>
      <c r="AM32" s="3">
        <f t="shared" si="0"/>
        <v>0</v>
      </c>
      <c r="AN32" s="370">
        <v>0.11</v>
      </c>
      <c r="AO32" s="144" t="s">
        <v>1078</v>
      </c>
      <c r="AP32" s="142" t="s">
        <v>1077</v>
      </c>
      <c r="AQ32" s="3" t="e">
        <f>FIND(지진하중!$O$8,AP32,1)</f>
        <v>#VALUE!</v>
      </c>
      <c r="AR32" s="3">
        <f t="shared" si="1"/>
        <v>0</v>
      </c>
      <c r="AS32" s="4" t="str">
        <f t="shared" si="2"/>
        <v/>
      </c>
      <c r="AT32" s="5" t="str">
        <f t="shared" si="3"/>
        <v/>
      </c>
    </row>
    <row r="33" spans="2:46" s="7" customFormat="1" ht="15.95" customHeight="1" x14ac:dyDescent="0.15">
      <c r="B33" s="358"/>
      <c r="C33" s="358"/>
      <c r="D33" s="20" t="s">
        <v>643</v>
      </c>
      <c r="E33" s="422">
        <f>1.6*F21*F12*F22</f>
        <v>0.30635733333333337</v>
      </c>
      <c r="F33" s="358" t="s">
        <v>955</v>
      </c>
      <c r="G33" s="358"/>
      <c r="H33" s="358"/>
      <c r="I33" s="358"/>
      <c r="J33" s="358"/>
      <c r="K33" s="358"/>
      <c r="L33" s="358"/>
      <c r="M33" s="358"/>
      <c r="N33" s="429"/>
      <c r="O33" s="358"/>
      <c r="P33" s="757" t="s">
        <v>916</v>
      </c>
      <c r="Q33" s="758"/>
      <c r="R33" s="759"/>
      <c r="S33" s="389">
        <f>S31*S32</f>
        <v>0.154</v>
      </c>
      <c r="T33" s="358"/>
      <c r="U33" s="358"/>
      <c r="V33" s="358"/>
      <c r="W33" s="402"/>
      <c r="AM33" s="3">
        <f t="shared" si="0"/>
        <v>0</v>
      </c>
      <c r="AN33" s="370">
        <v>0.11</v>
      </c>
      <c r="AO33" s="144" t="s">
        <v>1070</v>
      </c>
      <c r="AP33" s="142" t="s">
        <v>1076</v>
      </c>
      <c r="AQ33" s="3" t="e">
        <f>FIND(지진하중!$O$8,AP33,1)</f>
        <v>#VALUE!</v>
      </c>
      <c r="AR33" s="3">
        <f t="shared" si="1"/>
        <v>0</v>
      </c>
      <c r="AS33" s="4" t="str">
        <f t="shared" si="2"/>
        <v/>
      </c>
      <c r="AT33" s="5" t="str">
        <f t="shared" si="3"/>
        <v/>
      </c>
    </row>
    <row r="34" spans="2:46" s="7" customFormat="1" ht="15.95" customHeight="1" x14ac:dyDescent="0.15">
      <c r="B34" s="358"/>
      <c r="C34" s="420" t="s">
        <v>976</v>
      </c>
      <c r="D34" s="20" t="s">
        <v>643</v>
      </c>
      <c r="E34" s="420" t="s">
        <v>977</v>
      </c>
      <c r="F34" s="358"/>
      <c r="G34" s="358"/>
      <c r="H34" s="358"/>
      <c r="I34" s="358"/>
      <c r="J34" s="358"/>
      <c r="K34" s="358"/>
      <c r="L34" s="358"/>
      <c r="M34" s="358"/>
      <c r="N34" s="429"/>
      <c r="O34" s="358"/>
      <c r="P34" s="419"/>
      <c r="Q34" s="419"/>
      <c r="R34" s="419"/>
      <c r="S34" s="419"/>
      <c r="T34" s="358"/>
      <c r="U34" s="358"/>
      <c r="V34" s="358"/>
      <c r="W34" s="402"/>
      <c r="AM34" s="3">
        <f t="shared" si="0"/>
        <v>0</v>
      </c>
      <c r="AN34" s="370">
        <v>0.11</v>
      </c>
      <c r="AO34" s="144" t="s">
        <v>1070</v>
      </c>
      <c r="AP34" s="142" t="s">
        <v>1075</v>
      </c>
      <c r="AQ34" s="3" t="e">
        <f>FIND(지진하중!$O$8,AP34,1)</f>
        <v>#VALUE!</v>
      </c>
      <c r="AR34" s="3">
        <f t="shared" si="1"/>
        <v>0</v>
      </c>
      <c r="AS34" s="4" t="str">
        <f t="shared" si="2"/>
        <v/>
      </c>
      <c r="AT34" s="5" t="str">
        <f t="shared" si="3"/>
        <v/>
      </c>
    </row>
    <row r="35" spans="2:46" s="7" customFormat="1" ht="15.95" customHeight="1" thickBot="1" x14ac:dyDescent="0.2">
      <c r="B35" s="358"/>
      <c r="C35" s="358"/>
      <c r="D35" s="20" t="s">
        <v>643</v>
      </c>
      <c r="E35" s="422">
        <f>0.3*F21*F12*F22</f>
        <v>5.7442000000000007E-2</v>
      </c>
      <c r="F35" s="358" t="s">
        <v>955</v>
      </c>
      <c r="G35" s="358"/>
      <c r="H35" s="358"/>
      <c r="I35" s="358"/>
      <c r="J35" s="358"/>
      <c r="K35" s="358"/>
      <c r="L35" s="358"/>
      <c r="M35" s="358"/>
      <c r="N35" s="429"/>
      <c r="O35" s="358"/>
      <c r="P35" s="760" t="s">
        <v>978</v>
      </c>
      <c r="Q35" s="761"/>
      <c r="R35" s="761"/>
      <c r="S35" s="762"/>
      <c r="T35" s="358"/>
      <c r="U35" s="358"/>
      <c r="V35" s="358"/>
      <c r="W35" s="402"/>
      <c r="AM35" s="3">
        <f t="shared" ref="AM35:AM51" si="4">ROUNDDOWN(COUNT(AQ35),0)</f>
        <v>0</v>
      </c>
      <c r="AN35" s="370">
        <v>0.11</v>
      </c>
      <c r="AO35" s="144" t="s">
        <v>1070</v>
      </c>
      <c r="AP35" s="145" t="s">
        <v>1074</v>
      </c>
      <c r="AQ35" s="3" t="e">
        <f>FIND(지진하중!$O$8,AP35,1)</f>
        <v>#VALUE!</v>
      </c>
      <c r="AR35" s="3">
        <f t="shared" ref="AR35:AR51" si="5">AM35*AN35</f>
        <v>0</v>
      </c>
      <c r="AS35" s="4" t="str">
        <f>IF(OR(AR35=0,[8]지진하중!O9=3),"",AO35)</f>
        <v/>
      </c>
      <c r="AT35" s="5" t="str">
        <f>IF(OR(AR35=0,[8]지진하중!O9=3),"",IF(AR35=0,"",MID(AP35,AQ35,4)))</f>
        <v/>
      </c>
    </row>
    <row r="36" spans="2:46" s="7" customFormat="1" ht="15.95" customHeight="1" x14ac:dyDescent="0.15">
      <c r="B36" s="358"/>
      <c r="C36" s="420" t="s">
        <v>979</v>
      </c>
      <c r="D36" s="358"/>
      <c r="E36" s="358"/>
      <c r="F36" s="358"/>
      <c r="G36" s="358"/>
      <c r="H36" s="358"/>
      <c r="I36" s="358"/>
      <c r="J36" s="358"/>
      <c r="K36" s="358"/>
      <c r="L36" s="358"/>
      <c r="M36" s="358"/>
      <c r="N36" s="751" t="s">
        <v>907</v>
      </c>
      <c r="O36" s="753">
        <v>4</v>
      </c>
      <c r="P36" s="755" t="s">
        <v>980</v>
      </c>
      <c r="Q36" s="757" t="s">
        <v>919</v>
      </c>
      <c r="R36" s="758"/>
      <c r="S36" s="759"/>
      <c r="T36" s="743" t="s">
        <v>981</v>
      </c>
      <c r="U36" s="743"/>
      <c r="V36" s="743"/>
      <c r="W36" s="402"/>
      <c r="AM36" s="3">
        <f t="shared" si="4"/>
        <v>0</v>
      </c>
      <c r="AN36" s="370">
        <v>0.11</v>
      </c>
      <c r="AO36" s="144" t="s">
        <v>1070</v>
      </c>
      <c r="AP36" s="142" t="s">
        <v>1073</v>
      </c>
      <c r="AQ36" s="3" t="e">
        <f>FIND(지진하중!$O$8,AP36,1)</f>
        <v>#VALUE!</v>
      </c>
      <c r="AR36" s="3">
        <f t="shared" si="5"/>
        <v>0</v>
      </c>
      <c r="AS36" s="4" t="str">
        <f t="shared" ref="AS36:AS48" si="6">IF(AR36=0,"",AO36)</f>
        <v/>
      </c>
      <c r="AT36" s="5" t="str">
        <f t="shared" ref="AT36:AT41" si="7">IF(AR36=0,"",MID(AP36,AQ36,4))</f>
        <v/>
      </c>
    </row>
    <row r="37" spans="2:46" s="7" customFormat="1" ht="15.95" customHeight="1" thickBot="1" x14ac:dyDescent="0.2">
      <c r="B37" s="358"/>
      <c r="C37" s="420" t="s">
        <v>968</v>
      </c>
      <c r="D37" s="20" t="s">
        <v>643</v>
      </c>
      <c r="E37" s="431">
        <f>E31</f>
        <v>0.15317866666666669</v>
      </c>
      <c r="F37" s="358" t="s">
        <v>955</v>
      </c>
      <c r="G37" s="358"/>
      <c r="H37" s="358"/>
      <c r="I37" s="358"/>
      <c r="J37" s="358"/>
      <c r="K37" s="358"/>
      <c r="L37" s="358"/>
      <c r="M37" s="358"/>
      <c r="N37" s="752"/>
      <c r="O37" s="754"/>
      <c r="P37" s="756"/>
      <c r="Q37" s="389" t="s">
        <v>982</v>
      </c>
      <c r="R37" s="389" t="s">
        <v>983</v>
      </c>
      <c r="S37" s="389" t="s">
        <v>984</v>
      </c>
      <c r="T37" s="743"/>
      <c r="U37" s="743"/>
      <c r="V37" s="743"/>
      <c r="W37" s="402"/>
      <c r="AM37" s="3">
        <f t="shared" si="4"/>
        <v>0</v>
      </c>
      <c r="AN37" s="370">
        <v>0.11</v>
      </c>
      <c r="AO37" s="144" t="s">
        <v>1070</v>
      </c>
      <c r="AP37" s="142" t="s">
        <v>1072</v>
      </c>
      <c r="AQ37" s="3" t="e">
        <f>FIND(지진하중!$O$8,AP37,1)</f>
        <v>#VALUE!</v>
      </c>
      <c r="AR37" s="3">
        <f t="shared" si="5"/>
        <v>0</v>
      </c>
      <c r="AS37" s="4" t="str">
        <f t="shared" si="6"/>
        <v/>
      </c>
      <c r="AT37" s="5" t="str">
        <f t="shared" si="7"/>
        <v/>
      </c>
    </row>
    <row r="38" spans="2:46" s="7" customFormat="1" ht="15.95" customHeight="1" x14ac:dyDescent="0.15">
      <c r="B38" s="358"/>
      <c r="C38" s="358"/>
      <c r="D38" s="358"/>
      <c r="E38" s="358"/>
      <c r="F38" s="358"/>
      <c r="G38" s="358"/>
      <c r="H38" s="358"/>
      <c r="I38" s="358"/>
      <c r="J38" s="358"/>
      <c r="K38" s="358"/>
      <c r="L38" s="358"/>
      <c r="M38" s="358"/>
      <c r="N38" s="429"/>
      <c r="O38" s="386">
        <v>1</v>
      </c>
      <c r="P38" s="432">
        <v>1</v>
      </c>
      <c r="Q38" s="389">
        <v>1.1200000000000001</v>
      </c>
      <c r="R38" s="389">
        <v>1.1200000000000001</v>
      </c>
      <c r="S38" s="389">
        <v>1.1200000000000001</v>
      </c>
      <c r="T38" s="743" t="s">
        <v>985</v>
      </c>
      <c r="U38" s="743"/>
      <c r="V38" s="743"/>
      <c r="W38" s="402"/>
      <c r="AM38" s="3">
        <f t="shared" si="4"/>
        <v>0</v>
      </c>
      <c r="AN38" s="370">
        <v>0.11</v>
      </c>
      <c r="AO38" s="144" t="s">
        <v>1070</v>
      </c>
      <c r="AP38" s="142" t="s">
        <v>1071</v>
      </c>
      <c r="AQ38" s="3" t="e">
        <f>FIND(지진하중!$O$8,AP38,1)</f>
        <v>#VALUE!</v>
      </c>
      <c r="AR38" s="3">
        <f t="shared" si="5"/>
        <v>0</v>
      </c>
      <c r="AS38" s="4" t="str">
        <f t="shared" si="6"/>
        <v/>
      </c>
      <c r="AT38" s="5" t="str">
        <f t="shared" si="7"/>
        <v/>
      </c>
    </row>
    <row r="39" spans="2:46" s="7" customFormat="1" ht="15.95" customHeight="1" x14ac:dyDescent="0.15">
      <c r="B39" s="8" t="s">
        <v>897</v>
      </c>
      <c r="C39" s="358" t="s">
        <v>986</v>
      </c>
      <c r="D39" s="358"/>
      <c r="E39" s="358"/>
      <c r="F39" s="358"/>
      <c r="G39" s="358"/>
      <c r="H39" s="358"/>
      <c r="I39" s="358"/>
      <c r="J39" s="358"/>
      <c r="K39" s="358"/>
      <c r="L39" s="358"/>
      <c r="M39" s="358"/>
      <c r="N39" s="429"/>
      <c r="O39" s="433">
        <v>2</v>
      </c>
      <c r="P39" s="432">
        <v>2</v>
      </c>
      <c r="Q39" s="389">
        <v>1.4</v>
      </c>
      <c r="R39" s="389">
        <v>1.4</v>
      </c>
      <c r="S39" s="389">
        <v>1.3</v>
      </c>
      <c r="T39" s="743" t="s">
        <v>987</v>
      </c>
      <c r="U39" s="743"/>
      <c r="V39" s="743"/>
      <c r="W39" s="402"/>
      <c r="AM39" s="3">
        <f t="shared" si="4"/>
        <v>0</v>
      </c>
      <c r="AN39" s="370">
        <v>0.11</v>
      </c>
      <c r="AO39" s="144" t="s">
        <v>1070</v>
      </c>
      <c r="AP39" s="142" t="s">
        <v>1069</v>
      </c>
      <c r="AQ39" s="3" t="e">
        <f>FIND(지진하중!$O$8,AP39,1)</f>
        <v>#VALUE!</v>
      </c>
      <c r="AR39" s="3">
        <f t="shared" si="5"/>
        <v>0</v>
      </c>
      <c r="AS39" s="4" t="str">
        <f t="shared" si="6"/>
        <v/>
      </c>
      <c r="AT39" s="5" t="str">
        <f t="shared" si="7"/>
        <v/>
      </c>
    </row>
    <row r="40" spans="2:46" s="7" customFormat="1" ht="15.95" customHeight="1" x14ac:dyDescent="0.15">
      <c r="B40" s="358"/>
      <c r="C40" s="358"/>
      <c r="D40" s="358"/>
      <c r="E40" s="358"/>
      <c r="F40" s="358"/>
      <c r="G40" s="358"/>
      <c r="H40" s="358"/>
      <c r="I40" s="358"/>
      <c r="J40" s="358"/>
      <c r="K40" s="358"/>
      <c r="L40" s="358"/>
      <c r="M40" s="358"/>
      <c r="N40" s="429"/>
      <c r="O40" s="433">
        <v>3</v>
      </c>
      <c r="P40" s="432">
        <v>3</v>
      </c>
      <c r="Q40" s="389">
        <v>1.7</v>
      </c>
      <c r="R40" s="389">
        <v>1.5</v>
      </c>
      <c r="S40" s="389">
        <v>1.3</v>
      </c>
      <c r="T40" s="743" t="s">
        <v>988</v>
      </c>
      <c r="U40" s="743"/>
      <c r="V40" s="743"/>
      <c r="W40" s="402"/>
      <c r="AM40" s="3">
        <f t="shared" si="4"/>
        <v>0</v>
      </c>
      <c r="AN40" s="370">
        <v>0.11</v>
      </c>
      <c r="AO40" s="143" t="s">
        <v>1065</v>
      </c>
      <c r="AP40" s="142" t="s">
        <v>1068</v>
      </c>
      <c r="AQ40" s="3" t="e">
        <f>FIND(지진하중!$O$8,AP40,1)</f>
        <v>#VALUE!</v>
      </c>
      <c r="AR40" s="3">
        <f t="shared" si="5"/>
        <v>0</v>
      </c>
      <c r="AS40" s="4" t="str">
        <f t="shared" si="6"/>
        <v/>
      </c>
      <c r="AT40" s="5" t="str">
        <f t="shared" si="7"/>
        <v/>
      </c>
    </row>
    <row r="41" spans="2:46" s="7" customFormat="1" ht="15.95" customHeight="1" x14ac:dyDescent="0.15">
      <c r="B41" s="358"/>
      <c r="C41" s="420" t="s">
        <v>989</v>
      </c>
      <c r="D41" s="20" t="s">
        <v>643</v>
      </c>
      <c r="E41" s="420" t="s">
        <v>990</v>
      </c>
      <c r="F41" s="358"/>
      <c r="G41" s="358"/>
      <c r="H41" s="358"/>
      <c r="I41" s="358"/>
      <c r="J41" s="358"/>
      <c r="K41" s="358"/>
      <c r="L41" s="358"/>
      <c r="M41" s="358"/>
      <c r="N41" s="429"/>
      <c r="O41" s="433">
        <v>4</v>
      </c>
      <c r="P41" s="432">
        <v>4</v>
      </c>
      <c r="Q41" s="389">
        <v>1.6</v>
      </c>
      <c r="R41" s="389">
        <v>1.4</v>
      </c>
      <c r="S41" s="389">
        <v>1.2</v>
      </c>
      <c r="T41" s="744" t="s">
        <v>991</v>
      </c>
      <c r="U41" s="744"/>
      <c r="V41" s="744"/>
      <c r="W41" s="402"/>
      <c r="AM41" s="3">
        <f t="shared" si="4"/>
        <v>0</v>
      </c>
      <c r="AN41" s="370">
        <v>0.11</v>
      </c>
      <c r="AO41" s="143" t="s">
        <v>1065</v>
      </c>
      <c r="AP41" s="142" t="s">
        <v>1067</v>
      </c>
      <c r="AQ41" s="3" t="e">
        <f>FIND(지진하중!$O$8,AP41,1)</f>
        <v>#VALUE!</v>
      </c>
      <c r="AR41" s="3">
        <f t="shared" si="5"/>
        <v>0</v>
      </c>
      <c r="AS41" s="4" t="str">
        <f t="shared" si="6"/>
        <v/>
      </c>
      <c r="AT41" s="5" t="str">
        <f t="shared" si="7"/>
        <v/>
      </c>
    </row>
    <row r="42" spans="2:46" s="7" customFormat="1" ht="15.95" customHeight="1" x14ac:dyDescent="0.15">
      <c r="B42" s="358"/>
      <c r="C42" s="358"/>
      <c r="D42" s="20" t="s">
        <v>643</v>
      </c>
      <c r="E42" s="431">
        <f>0.2*F21*F22</f>
        <v>3.8294666666666671E-2</v>
      </c>
      <c r="F42" s="358" t="s">
        <v>955</v>
      </c>
      <c r="G42" s="358"/>
      <c r="H42" s="358"/>
      <c r="I42" s="358"/>
      <c r="J42" s="358"/>
      <c r="K42" s="358"/>
      <c r="L42" s="358"/>
      <c r="M42" s="358"/>
      <c r="N42" s="434"/>
      <c r="O42" s="433">
        <v>5</v>
      </c>
      <c r="P42" s="432">
        <v>5</v>
      </c>
      <c r="Q42" s="389">
        <v>1.8</v>
      </c>
      <c r="R42" s="389">
        <v>1.3</v>
      </c>
      <c r="S42" s="435">
        <v>1.3</v>
      </c>
      <c r="T42" s="745" t="s">
        <v>992</v>
      </c>
      <c r="U42" s="746"/>
      <c r="V42" s="746"/>
      <c r="W42" s="747"/>
      <c r="AM42" s="3">
        <f t="shared" si="4"/>
        <v>0</v>
      </c>
      <c r="AN42" s="370">
        <v>0.11</v>
      </c>
      <c r="AO42" s="143" t="s">
        <v>1065</v>
      </c>
      <c r="AP42" s="142" t="s">
        <v>1066</v>
      </c>
      <c r="AQ42" s="3" t="e">
        <f>FIND(지진하중!$O$8,AP42,1)</f>
        <v>#VALUE!</v>
      </c>
      <c r="AR42" s="3">
        <f t="shared" si="5"/>
        <v>0</v>
      </c>
      <c r="AS42" s="4" t="str">
        <f t="shared" si="6"/>
        <v/>
      </c>
      <c r="AT42" s="5" t="str">
        <f>IF(AR42=0,"",MID(AP42,AQ42,3))</f>
        <v/>
      </c>
    </row>
    <row r="43" spans="2:46" s="7" customFormat="1" ht="15.95" customHeight="1" thickBot="1" x14ac:dyDescent="0.2">
      <c r="B43" s="358"/>
      <c r="C43" s="358"/>
      <c r="D43" s="358"/>
      <c r="E43" s="358"/>
      <c r="F43" s="358"/>
      <c r="G43" s="358"/>
      <c r="H43" s="358"/>
      <c r="I43" s="358"/>
      <c r="J43" s="358"/>
      <c r="K43" s="358"/>
      <c r="L43" s="358"/>
      <c r="M43" s="358"/>
      <c r="N43" s="436"/>
      <c r="O43" s="437"/>
      <c r="P43" s="437"/>
      <c r="Q43" s="437"/>
      <c r="R43" s="437"/>
      <c r="S43" s="437"/>
      <c r="T43" s="748"/>
      <c r="U43" s="749"/>
      <c r="V43" s="749"/>
      <c r="W43" s="750"/>
      <c r="X43" s="358"/>
      <c r="AC43" s="358"/>
      <c r="AD43" s="358"/>
      <c r="AH43" s="358"/>
      <c r="AI43" s="358"/>
      <c r="AJ43" s="358"/>
      <c r="AK43" s="358"/>
      <c r="AM43" s="3">
        <f t="shared" si="4"/>
        <v>0</v>
      </c>
      <c r="AN43" s="370">
        <v>0.11</v>
      </c>
      <c r="AO43" s="143" t="s">
        <v>1065</v>
      </c>
      <c r="AP43" s="142" t="s">
        <v>1064</v>
      </c>
      <c r="AQ43" s="3" t="e">
        <f>FIND(지진하중!$O$8,AP43,1)</f>
        <v>#VALUE!</v>
      </c>
      <c r="AR43" s="3">
        <f t="shared" si="5"/>
        <v>0</v>
      </c>
      <c r="AS43" s="4" t="str">
        <f t="shared" si="6"/>
        <v/>
      </c>
      <c r="AT43" s="5" t="str">
        <f t="shared" ref="AT43:AT48" si="8">IF(AR43=0,"",MID(AP43,AQ43,4))</f>
        <v/>
      </c>
    </row>
    <row r="44" spans="2:46" s="7" customFormat="1" ht="15.95" customHeight="1" x14ac:dyDescent="0.15">
      <c r="B44" s="358"/>
      <c r="C44" s="358"/>
      <c r="D44" s="358"/>
      <c r="E44" s="358"/>
      <c r="F44" s="358"/>
      <c r="G44" s="358"/>
      <c r="H44" s="358"/>
      <c r="I44" s="358"/>
      <c r="J44" s="358"/>
      <c r="K44" s="358"/>
      <c r="L44" s="358"/>
      <c r="M44" s="358"/>
      <c r="AM44" s="3">
        <f t="shared" si="4"/>
        <v>0</v>
      </c>
      <c r="AN44" s="370">
        <v>0.11</v>
      </c>
      <c r="AO44" s="144" t="s">
        <v>1058</v>
      </c>
      <c r="AP44" s="142" t="s">
        <v>1063</v>
      </c>
      <c r="AQ44" s="3" t="e">
        <f>FIND(지진하중!$O$8,AP44,1)</f>
        <v>#VALUE!</v>
      </c>
      <c r="AR44" s="3">
        <f t="shared" si="5"/>
        <v>0</v>
      </c>
      <c r="AS44" s="4" t="str">
        <f t="shared" si="6"/>
        <v/>
      </c>
      <c r="AT44" s="5" t="str">
        <f t="shared" si="8"/>
        <v/>
      </c>
    </row>
    <row r="45" spans="2:46" s="6" customFormat="1" ht="15.95" customHeight="1" x14ac:dyDescent="0.15">
      <c r="B45" s="373"/>
      <c r="C45" s="373"/>
      <c r="D45" s="373"/>
      <c r="E45" s="373"/>
      <c r="F45" s="373"/>
      <c r="G45" s="373"/>
      <c r="H45" s="373"/>
      <c r="I45" s="373"/>
      <c r="J45" s="373"/>
      <c r="K45" s="373"/>
      <c r="L45" s="373"/>
      <c r="M45" s="373"/>
      <c r="AM45" s="3">
        <f t="shared" si="4"/>
        <v>0</v>
      </c>
      <c r="AN45" s="370">
        <v>0.11</v>
      </c>
      <c r="AO45" s="144" t="s">
        <v>1058</v>
      </c>
      <c r="AP45" s="142" t="s">
        <v>1062</v>
      </c>
      <c r="AQ45" s="3" t="e">
        <f>FIND(지진하중!$O$8,AP45,1)</f>
        <v>#VALUE!</v>
      </c>
      <c r="AR45" s="3">
        <f t="shared" si="5"/>
        <v>0</v>
      </c>
      <c r="AS45" s="4" t="str">
        <f t="shared" si="6"/>
        <v/>
      </c>
      <c r="AT45" s="5" t="str">
        <f t="shared" si="8"/>
        <v/>
      </c>
    </row>
    <row r="46" spans="2:46" s="6" customFormat="1" ht="15.95" customHeight="1" x14ac:dyDescent="0.15">
      <c r="R46" s="440"/>
      <c r="AM46" s="3">
        <f t="shared" si="4"/>
        <v>0</v>
      </c>
      <c r="AN46" s="370">
        <v>0.11</v>
      </c>
      <c r="AO46" s="144" t="s">
        <v>1058</v>
      </c>
      <c r="AP46" s="142" t="s">
        <v>1061</v>
      </c>
      <c r="AQ46" s="3" t="e">
        <f>FIND(지진하중!$O$8,AP46,1)</f>
        <v>#VALUE!</v>
      </c>
      <c r="AR46" s="3">
        <f t="shared" si="5"/>
        <v>0</v>
      </c>
      <c r="AS46" s="4" t="str">
        <f t="shared" si="6"/>
        <v/>
      </c>
      <c r="AT46" s="5" t="str">
        <f t="shared" si="8"/>
        <v/>
      </c>
    </row>
    <row r="47" spans="2:46" s="6" customFormat="1" ht="15.95" customHeight="1" x14ac:dyDescent="0.15">
      <c r="R47" s="440"/>
      <c r="AM47" s="3">
        <f t="shared" si="4"/>
        <v>0</v>
      </c>
      <c r="AN47" s="370">
        <v>0.11</v>
      </c>
      <c r="AO47" s="144" t="s">
        <v>1058</v>
      </c>
      <c r="AP47" s="142" t="s">
        <v>1060</v>
      </c>
      <c r="AQ47" s="3" t="e">
        <f>FIND(지진하중!$O$8,AP47,1)</f>
        <v>#VALUE!</v>
      </c>
      <c r="AR47" s="3">
        <f t="shared" si="5"/>
        <v>0</v>
      </c>
      <c r="AS47" s="4" t="str">
        <f t="shared" si="6"/>
        <v/>
      </c>
      <c r="AT47" s="5" t="str">
        <f t="shared" si="8"/>
        <v/>
      </c>
    </row>
    <row r="48" spans="2:46" s="6" customFormat="1" ht="15.95" customHeight="1" x14ac:dyDescent="0.15">
      <c r="N48" s="7"/>
      <c r="O48" s="7"/>
      <c r="P48" s="7"/>
      <c r="Q48" s="7"/>
      <c r="R48" s="440"/>
      <c r="AM48" s="3">
        <f t="shared" si="4"/>
        <v>0</v>
      </c>
      <c r="AN48" s="370">
        <v>0.11</v>
      </c>
      <c r="AO48" s="144" t="s">
        <v>1058</v>
      </c>
      <c r="AP48" s="142" t="s">
        <v>1059</v>
      </c>
      <c r="AQ48" s="3" t="e">
        <f>FIND(지진하중!$O$8,AP48,1)</f>
        <v>#VALUE!</v>
      </c>
      <c r="AR48" s="3">
        <f t="shared" si="5"/>
        <v>0</v>
      </c>
      <c r="AS48" s="4" t="str">
        <f t="shared" si="6"/>
        <v/>
      </c>
      <c r="AT48" s="5" t="str">
        <f t="shared" si="8"/>
        <v/>
      </c>
    </row>
    <row r="49" spans="14:47" s="6" customFormat="1" ht="15.95" customHeight="1" x14ac:dyDescent="0.15">
      <c r="R49" s="440"/>
      <c r="AM49" s="3">
        <f t="shared" si="4"/>
        <v>0</v>
      </c>
      <c r="AN49" s="370">
        <v>0.11</v>
      </c>
      <c r="AO49" s="144" t="s">
        <v>1058</v>
      </c>
      <c r="AP49" s="142" t="s">
        <v>993</v>
      </c>
      <c r="AQ49" s="3" t="e">
        <f>FIND(지진하중!$O$8,AP49,1)</f>
        <v>#VALUE!</v>
      </c>
      <c r="AR49" s="3">
        <f t="shared" si="5"/>
        <v>0</v>
      </c>
      <c r="AS49" s="4" t="str">
        <f>IF(OR(AR49=0,[8]지진하중!O9=1),"",AO49)</f>
        <v/>
      </c>
      <c r="AT49" s="5" t="str">
        <f>IF(OR(AR49=0,[8]지진하중!O9=1),"",IF(AR49=0,"",MID(AP49,AQ49,4)))</f>
        <v/>
      </c>
    </row>
    <row r="50" spans="14:47" s="6" customFormat="1" ht="15.95" customHeight="1" x14ac:dyDescent="0.15">
      <c r="R50" s="440"/>
      <c r="AM50" s="3">
        <f t="shared" si="4"/>
        <v>0</v>
      </c>
      <c r="AN50" s="370">
        <v>0.11</v>
      </c>
      <c r="AO50" s="144" t="s">
        <v>1058</v>
      </c>
      <c r="AP50" s="142" t="s">
        <v>1057</v>
      </c>
      <c r="AQ50" s="3" t="e">
        <f>FIND(지진하중!$O$8,AP50,1)</f>
        <v>#VALUE!</v>
      </c>
      <c r="AR50" s="3">
        <f t="shared" si="5"/>
        <v>0</v>
      </c>
      <c r="AS50" s="4" t="str">
        <f>IF(AR50=0,"",AO50)</f>
        <v/>
      </c>
      <c r="AT50" s="5" t="str">
        <f>IF(AR50=0,"",MID(AP50,AQ50,4))</f>
        <v/>
      </c>
    </row>
    <row r="51" spans="14:47" s="6" customFormat="1" ht="15.95" customHeight="1" x14ac:dyDescent="0.15">
      <c r="O51" s="15"/>
      <c r="P51" s="13"/>
      <c r="Q51" s="146"/>
      <c r="R51" s="440"/>
      <c r="AM51" s="3">
        <f t="shared" si="4"/>
        <v>0</v>
      </c>
      <c r="AN51" s="370">
        <v>7.0000000000000007E-2</v>
      </c>
      <c r="AO51" s="3" t="s">
        <v>1056</v>
      </c>
      <c r="AP51" s="142" t="s">
        <v>1055</v>
      </c>
      <c r="AQ51" s="3" t="e">
        <f>FIND(지진하중!$O$8,AP51,1)</f>
        <v>#VALUE!</v>
      </c>
      <c r="AR51" s="3">
        <f t="shared" si="5"/>
        <v>0</v>
      </c>
      <c r="AS51" s="4" t="str">
        <f>IF(AR51=0,"",AO51)</f>
        <v/>
      </c>
      <c r="AT51" s="5" t="str">
        <f>IF(AR51=0,"",MID(AP51,AQ51,4))</f>
        <v/>
      </c>
    </row>
    <row r="52" spans="14:47" s="6" customFormat="1" ht="15.95" customHeight="1" x14ac:dyDescent="0.15">
      <c r="R52" s="440"/>
      <c r="AM52" s="7"/>
      <c r="AN52" s="438"/>
      <c r="AO52" s="7"/>
      <c r="AP52" s="7"/>
      <c r="AQ52" s="7"/>
      <c r="AR52" s="7"/>
      <c r="AS52" s="149" t="str">
        <f>AS3&amp;AS4&amp;AS5&amp;AS6&amp;AS7&amp;AS8&amp;AS9&amp;AS10&amp;AS11&amp;AS12&amp;AS13&amp;AS15&amp;AS16&amp;AS17&amp;AS18&amp;AS19&amp;AS20&amp;AS21&amp;AS22&amp;AS23&amp;AS24&amp;AS25&amp;AS26&amp;AS27&amp;AS28&amp;AS29&amp;AS30&amp;AS31&amp;AS32&amp;AS33&amp;AS34&amp;AS35&amp;AS36&amp;AS37&amp;AS38&amp;AS39&amp;AS40&amp;AS41&amp;AS42&amp;AS43&amp;AS44&amp;AS45&amp;AS46&amp;AS47&amp;AS48&amp;AS49&amp;AS50&amp;AS51</f>
        <v>경기도</v>
      </c>
      <c r="AT52" s="149" t="str">
        <f>AT3&amp;AT4&amp;AT5&amp;AT6&amp;AT7&amp;AT8&amp;AT9&amp;AT10&amp;AT11&amp;AT12&amp;AT13&amp;AT15&amp;AT16&amp;AT17&amp;AT18&amp;AT19&amp;AT20&amp;AT21&amp;AT22&amp;AT23&amp;AT24&amp;AT25&amp;AT26&amp;AT27&amp;AT28&amp;AT29&amp;AT30&amp;AT31&amp;AT32&amp;AT33&amp;AT34&amp;AT35&amp;AT36&amp;AT37&amp;AT38&amp;AT39&amp;AT40&amp;AT41&amp;AT42&amp;AT43&amp;AT44&amp;AT45&amp;AT46&amp;AT47&amp;AT48&amp;AT49&amp;AT50&amp;AT51</f>
        <v xml:space="preserve">서울시 </v>
      </c>
    </row>
    <row r="53" spans="14:47" s="6" customFormat="1" ht="15.95" customHeight="1" x14ac:dyDescent="0.15">
      <c r="R53" s="440"/>
    </row>
    <row r="54" spans="14:47" s="6" customFormat="1" ht="15.95" customHeight="1" x14ac:dyDescent="0.15">
      <c r="R54" s="440"/>
    </row>
    <row r="55" spans="14:47" s="6" customFormat="1" ht="15.95" customHeight="1" x14ac:dyDescent="0.15">
      <c r="O55" s="147"/>
      <c r="P55" s="147"/>
      <c r="Q55" s="147"/>
      <c r="R55" s="440"/>
      <c r="AN55" s="439"/>
    </row>
    <row r="56" spans="14:47" s="6" customFormat="1" ht="15.95" customHeight="1" x14ac:dyDescent="0.15">
      <c r="Q56" s="14"/>
      <c r="R56" s="440"/>
      <c r="AN56" s="439"/>
    </row>
    <row r="57" spans="14:47" s="6" customFormat="1" ht="15.95" customHeight="1" x14ac:dyDescent="0.15">
      <c r="AN57" s="439"/>
    </row>
    <row r="58" spans="14:47" s="6" customFormat="1" ht="15.95" customHeight="1" x14ac:dyDescent="0.15">
      <c r="AN58" s="439"/>
    </row>
    <row r="59" spans="14:47" s="6" customFormat="1" ht="15.95" customHeight="1" x14ac:dyDescent="0.15">
      <c r="AM59" s="7"/>
      <c r="AN59" s="438"/>
      <c r="AO59" s="7"/>
      <c r="AP59" s="7"/>
      <c r="AQ59" s="7"/>
      <c r="AR59" s="7"/>
      <c r="AS59" s="7"/>
      <c r="AT59" s="7"/>
      <c r="AU59" s="7"/>
    </row>
    <row r="60" spans="14:47" s="6" customFormat="1" ht="15.95" customHeight="1" x14ac:dyDescent="0.15">
      <c r="N60" s="148"/>
      <c r="O60" s="147"/>
      <c r="AN60" s="439"/>
    </row>
    <row r="61" spans="14:47" s="6" customFormat="1" ht="15.95" customHeight="1" x14ac:dyDescent="0.15">
      <c r="AN61" s="439"/>
    </row>
    <row r="62" spans="14:47" s="6" customFormat="1" ht="15.95" customHeight="1" x14ac:dyDescent="0.15">
      <c r="AN62" s="439"/>
    </row>
    <row r="63" spans="14:47" s="6" customFormat="1" ht="15.95" customHeight="1" x14ac:dyDescent="0.15">
      <c r="N63" s="7"/>
      <c r="O63" s="7"/>
      <c r="AN63" s="439"/>
    </row>
    <row r="64" spans="14:47" s="6" customFormat="1" ht="15.95" customHeight="1" x14ac:dyDescent="0.15">
      <c r="AN64" s="439"/>
    </row>
    <row r="65" spans="3:40" s="6" customFormat="1" ht="15.95" customHeight="1" x14ac:dyDescent="0.15">
      <c r="AN65" s="439"/>
    </row>
    <row r="66" spans="3:40" s="6" customFormat="1" ht="15.95" customHeight="1" x14ac:dyDescent="0.15">
      <c r="C66" s="22"/>
      <c r="D66" s="20"/>
      <c r="E66" s="441"/>
      <c r="F66" s="7"/>
      <c r="G66" s="7"/>
      <c r="H66" s="7"/>
      <c r="J66" s="7"/>
      <c r="K66" s="7"/>
      <c r="L66" s="7"/>
      <c r="M66" s="7"/>
      <c r="AN66" s="439"/>
    </row>
    <row r="67" spans="3:40" s="6" customFormat="1" ht="15.95" customHeight="1" x14ac:dyDescent="0.15">
      <c r="E67" s="7"/>
      <c r="G67" s="7"/>
      <c r="H67" s="7"/>
      <c r="I67" s="7"/>
      <c r="J67" s="7"/>
      <c r="K67" s="7"/>
      <c r="L67" s="7"/>
      <c r="AN67" s="439"/>
    </row>
    <row r="68" spans="3:40" s="6" customFormat="1" ht="15.95" customHeight="1" x14ac:dyDescent="0.15">
      <c r="G68" s="7"/>
      <c r="H68" s="7"/>
      <c r="I68" s="7"/>
      <c r="J68" s="7"/>
      <c r="K68" s="7"/>
      <c r="L68" s="7"/>
      <c r="AN68" s="439"/>
    </row>
    <row r="69" spans="3:40" s="6" customFormat="1" ht="15.95" customHeight="1" x14ac:dyDescent="0.15">
      <c r="G69" s="7"/>
      <c r="H69" s="7"/>
      <c r="I69" s="7"/>
      <c r="J69" s="7"/>
      <c r="K69" s="7"/>
      <c r="L69" s="7"/>
      <c r="AN69" s="439"/>
    </row>
    <row r="70" spans="3:40" s="6" customFormat="1" ht="15.95" customHeight="1" x14ac:dyDescent="0.15">
      <c r="G70" s="7"/>
      <c r="H70" s="7"/>
      <c r="I70" s="7"/>
      <c r="J70" s="7"/>
      <c r="K70" s="7"/>
      <c r="L70" s="7"/>
      <c r="AN70" s="439"/>
    </row>
    <row r="71" spans="3:40" s="6" customFormat="1" ht="15.95" customHeight="1" x14ac:dyDescent="0.15">
      <c r="G71" s="7"/>
      <c r="H71" s="7"/>
      <c r="I71" s="7"/>
      <c r="J71" s="7"/>
      <c r="K71" s="7"/>
      <c r="L71" s="7"/>
      <c r="AN71" s="439"/>
    </row>
    <row r="72" spans="3:40" s="6" customFormat="1" ht="15.95" customHeight="1" x14ac:dyDescent="0.15">
      <c r="G72" s="7"/>
      <c r="H72" s="7"/>
      <c r="I72" s="7"/>
      <c r="J72" s="7"/>
      <c r="K72" s="7"/>
      <c r="L72" s="7"/>
      <c r="AN72" s="439"/>
    </row>
    <row r="73" spans="3:40" s="6" customFormat="1" ht="15.95" customHeight="1" x14ac:dyDescent="0.15">
      <c r="G73" s="7"/>
      <c r="H73" s="7"/>
      <c r="I73" s="7"/>
      <c r="J73" s="7"/>
      <c r="K73" s="7"/>
      <c r="L73" s="7"/>
      <c r="AN73" s="439"/>
    </row>
    <row r="74" spans="3:40" s="6" customFormat="1" ht="15.95" customHeight="1" x14ac:dyDescent="0.15">
      <c r="G74" s="7"/>
      <c r="H74" s="7"/>
      <c r="I74" s="7"/>
      <c r="J74" s="7"/>
      <c r="K74" s="7"/>
      <c r="L74" s="7"/>
      <c r="AN74" s="439"/>
    </row>
    <row r="75" spans="3:40" s="6" customFormat="1" ht="15.95" customHeight="1" x14ac:dyDescent="0.15">
      <c r="G75" s="7"/>
      <c r="H75" s="7"/>
      <c r="I75" s="7"/>
      <c r="J75" s="7"/>
      <c r="K75" s="7"/>
      <c r="L75" s="7"/>
      <c r="AN75" s="439"/>
    </row>
    <row r="76" spans="3:40" s="6" customFormat="1" ht="15.95" customHeight="1" x14ac:dyDescent="0.15">
      <c r="G76" s="7"/>
      <c r="H76" s="7"/>
      <c r="I76" s="7"/>
      <c r="J76" s="7"/>
      <c r="K76" s="7"/>
      <c r="L76" s="7"/>
      <c r="AN76" s="439"/>
    </row>
    <row r="77" spans="3:40" s="6" customFormat="1" ht="15.95" customHeight="1" x14ac:dyDescent="0.15">
      <c r="G77" s="7"/>
      <c r="H77" s="7"/>
      <c r="I77" s="7"/>
      <c r="J77" s="7"/>
      <c r="K77" s="7"/>
      <c r="L77" s="7"/>
      <c r="AN77" s="439"/>
    </row>
    <row r="78" spans="3:40" s="6" customFormat="1" ht="15.95" customHeight="1" x14ac:dyDescent="0.15">
      <c r="G78" s="7"/>
      <c r="H78" s="7"/>
      <c r="I78" s="7"/>
      <c r="J78" s="7"/>
      <c r="K78" s="7"/>
      <c r="L78" s="7"/>
      <c r="AN78" s="439"/>
    </row>
    <row r="79" spans="3:40" s="6" customFormat="1" ht="15.95" customHeight="1" x14ac:dyDescent="0.15">
      <c r="G79" s="7"/>
      <c r="H79" s="7"/>
      <c r="I79" s="7"/>
      <c r="J79" s="7"/>
      <c r="K79" s="7"/>
      <c r="L79" s="7"/>
      <c r="AN79" s="439"/>
    </row>
    <row r="80" spans="3:40" s="6" customFormat="1" ht="15.95" customHeight="1" x14ac:dyDescent="0.15">
      <c r="G80" s="7"/>
      <c r="H80" s="7"/>
      <c r="I80" s="7"/>
      <c r="J80" s="7"/>
      <c r="K80" s="7"/>
      <c r="L80" s="7"/>
      <c r="AN80" s="439"/>
    </row>
    <row r="81" spans="7:40" s="6" customFormat="1" ht="15.95" customHeight="1" x14ac:dyDescent="0.15">
      <c r="G81" s="7"/>
      <c r="H81" s="7"/>
      <c r="I81" s="7"/>
      <c r="J81" s="7"/>
      <c r="K81" s="7"/>
      <c r="L81" s="7"/>
      <c r="AN81" s="439"/>
    </row>
    <row r="82" spans="7:40" s="6" customFormat="1" ht="15.95" customHeight="1" x14ac:dyDescent="0.15">
      <c r="G82" s="7"/>
      <c r="H82" s="7"/>
      <c r="I82" s="7"/>
      <c r="J82" s="7"/>
      <c r="K82" s="7"/>
      <c r="L82" s="7"/>
      <c r="AN82" s="439"/>
    </row>
    <row r="83" spans="7:40" s="6" customFormat="1" ht="15.95" customHeight="1" x14ac:dyDescent="0.15">
      <c r="G83" s="7"/>
      <c r="H83" s="7"/>
      <c r="I83" s="7"/>
      <c r="J83" s="7"/>
      <c r="K83" s="7"/>
      <c r="L83" s="7"/>
      <c r="AN83" s="439"/>
    </row>
    <row r="84" spans="7:40" s="6" customFormat="1" ht="15.95" customHeight="1" x14ac:dyDescent="0.15">
      <c r="G84" s="7"/>
      <c r="H84" s="7"/>
      <c r="I84" s="7"/>
      <c r="J84" s="7"/>
      <c r="K84" s="7"/>
      <c r="L84" s="7"/>
      <c r="AN84" s="439"/>
    </row>
    <row r="85" spans="7:40" s="6" customFormat="1" ht="15.95" customHeight="1" x14ac:dyDescent="0.15">
      <c r="G85" s="7"/>
      <c r="H85" s="7"/>
      <c r="I85" s="7"/>
      <c r="J85" s="7"/>
      <c r="K85" s="7"/>
      <c r="L85" s="7"/>
      <c r="AN85" s="439"/>
    </row>
    <row r="86" spans="7:40" s="6" customFormat="1" ht="15.95" customHeight="1" x14ac:dyDescent="0.15">
      <c r="G86" s="7"/>
      <c r="H86" s="7"/>
      <c r="I86" s="7"/>
      <c r="J86" s="7"/>
      <c r="K86" s="7"/>
      <c r="L86" s="7"/>
      <c r="AN86" s="439"/>
    </row>
    <row r="87" spans="7:40" s="6" customFormat="1" ht="15.95" customHeight="1" x14ac:dyDescent="0.15">
      <c r="G87" s="7"/>
      <c r="H87" s="7"/>
      <c r="I87" s="7"/>
      <c r="J87" s="7"/>
      <c r="K87" s="7"/>
      <c r="L87" s="7"/>
      <c r="AN87" s="439"/>
    </row>
    <row r="88" spans="7:40" s="6" customFormat="1" ht="15.95" customHeight="1" x14ac:dyDescent="0.15">
      <c r="G88" s="7"/>
      <c r="H88" s="7"/>
      <c r="I88" s="7"/>
      <c r="J88" s="7"/>
      <c r="K88" s="7"/>
      <c r="L88" s="7"/>
      <c r="AN88" s="439"/>
    </row>
    <row r="89" spans="7:40" s="6" customFormat="1" ht="15.95" customHeight="1" x14ac:dyDescent="0.15">
      <c r="G89" s="7"/>
      <c r="H89" s="7"/>
      <c r="I89" s="7"/>
      <c r="J89" s="7"/>
      <c r="K89" s="7"/>
      <c r="L89" s="7"/>
      <c r="AN89" s="439"/>
    </row>
    <row r="90" spans="7:40" s="6" customFormat="1" ht="15.95" customHeight="1" x14ac:dyDescent="0.15">
      <c r="G90" s="7"/>
      <c r="H90" s="7"/>
      <c r="I90" s="7"/>
      <c r="J90" s="7"/>
      <c r="K90" s="7"/>
      <c r="L90" s="7"/>
      <c r="AN90" s="439"/>
    </row>
    <row r="91" spans="7:40" s="6" customFormat="1" ht="15.95" customHeight="1" x14ac:dyDescent="0.15">
      <c r="G91" s="7"/>
      <c r="H91" s="7"/>
      <c r="I91" s="7"/>
      <c r="J91" s="7"/>
      <c r="K91" s="7"/>
      <c r="L91" s="7"/>
      <c r="AN91" s="439"/>
    </row>
    <row r="92" spans="7:40" s="6" customFormat="1" ht="15.95" customHeight="1" x14ac:dyDescent="0.15">
      <c r="G92" s="7"/>
      <c r="H92" s="7"/>
      <c r="I92" s="7"/>
      <c r="J92" s="7"/>
      <c r="K92" s="7"/>
      <c r="L92" s="7"/>
      <c r="AN92" s="439"/>
    </row>
    <row r="93" spans="7:40" s="6" customFormat="1" ht="15.95" customHeight="1" x14ac:dyDescent="0.15">
      <c r="G93" s="7"/>
      <c r="H93" s="7"/>
      <c r="I93" s="7"/>
      <c r="J93" s="7"/>
      <c r="K93" s="7"/>
      <c r="L93" s="7"/>
      <c r="AN93" s="439"/>
    </row>
    <row r="94" spans="7:40" s="6" customFormat="1" ht="15.95" customHeight="1" x14ac:dyDescent="0.15">
      <c r="G94" s="7"/>
      <c r="H94" s="7"/>
      <c r="I94" s="7"/>
      <c r="J94" s="7"/>
      <c r="K94" s="7"/>
      <c r="L94" s="7"/>
      <c r="AN94" s="439"/>
    </row>
    <row r="95" spans="7:40" s="6" customFormat="1" ht="15.95" customHeight="1" x14ac:dyDescent="0.15">
      <c r="G95" s="7"/>
      <c r="H95" s="7"/>
      <c r="I95" s="7"/>
      <c r="J95" s="7"/>
      <c r="K95" s="7"/>
      <c r="L95" s="7"/>
      <c r="AN95" s="439"/>
    </row>
    <row r="96" spans="7:40" s="6" customFormat="1" ht="15.95" customHeight="1" x14ac:dyDescent="0.15">
      <c r="G96" s="7"/>
      <c r="H96" s="7"/>
      <c r="I96" s="7"/>
      <c r="J96" s="7"/>
      <c r="K96" s="7"/>
      <c r="L96" s="7"/>
      <c r="AN96" s="439"/>
    </row>
    <row r="97" spans="7:40" s="6" customFormat="1" ht="15.95" customHeight="1" x14ac:dyDescent="0.15">
      <c r="G97" s="7"/>
      <c r="H97" s="7"/>
      <c r="I97" s="7"/>
      <c r="J97" s="7"/>
      <c r="K97" s="7"/>
      <c r="L97" s="7"/>
      <c r="AN97" s="439"/>
    </row>
    <row r="98" spans="7:40" s="6" customFormat="1" ht="15.95" customHeight="1" x14ac:dyDescent="0.15">
      <c r="G98" s="7"/>
      <c r="H98" s="7"/>
      <c r="I98" s="7"/>
      <c r="J98" s="7"/>
      <c r="K98" s="7"/>
      <c r="L98" s="7"/>
      <c r="AN98" s="439"/>
    </row>
    <row r="99" spans="7:40" s="6" customFormat="1" ht="15.95" customHeight="1" x14ac:dyDescent="0.15">
      <c r="G99" s="7"/>
      <c r="H99" s="7"/>
      <c r="I99" s="7"/>
      <c r="J99" s="7"/>
      <c r="K99" s="7"/>
      <c r="L99" s="7"/>
      <c r="AN99" s="439"/>
    </row>
    <row r="100" spans="7:40" s="6" customFormat="1" ht="15.95" customHeight="1" x14ac:dyDescent="0.15">
      <c r="G100" s="7"/>
      <c r="H100" s="7"/>
      <c r="I100" s="7"/>
      <c r="J100" s="7"/>
      <c r="K100" s="7"/>
      <c r="L100" s="7"/>
      <c r="AN100" s="439"/>
    </row>
    <row r="101" spans="7:40" s="6" customFormat="1" ht="15.95" customHeight="1" x14ac:dyDescent="0.15">
      <c r="G101" s="7"/>
      <c r="H101" s="7"/>
      <c r="I101" s="7"/>
      <c r="J101" s="7"/>
      <c r="K101" s="7"/>
      <c r="L101" s="7"/>
      <c r="AN101" s="439"/>
    </row>
    <row r="102" spans="7:40" s="6" customFormat="1" ht="15.95" customHeight="1" x14ac:dyDescent="0.15">
      <c r="G102" s="7"/>
      <c r="H102" s="7"/>
      <c r="I102" s="7"/>
      <c r="J102" s="7"/>
      <c r="K102" s="7"/>
      <c r="L102" s="7"/>
      <c r="AN102" s="439"/>
    </row>
    <row r="103" spans="7:40" s="6" customFormat="1" ht="15.95" customHeight="1" x14ac:dyDescent="0.15">
      <c r="G103" s="7"/>
      <c r="H103" s="7"/>
      <c r="I103" s="7"/>
      <c r="J103" s="7"/>
      <c r="K103" s="7"/>
      <c r="L103" s="7"/>
      <c r="AN103" s="439"/>
    </row>
    <row r="104" spans="7:40" s="6" customFormat="1" ht="15.95" customHeight="1" x14ac:dyDescent="0.15">
      <c r="G104" s="7"/>
      <c r="H104" s="7"/>
      <c r="I104" s="7"/>
      <c r="J104" s="7"/>
      <c r="K104" s="7"/>
      <c r="L104" s="7"/>
      <c r="AN104" s="439"/>
    </row>
    <row r="105" spans="7:40" s="6" customFormat="1" ht="15.95" customHeight="1" x14ac:dyDescent="0.15">
      <c r="G105" s="7"/>
      <c r="H105" s="7"/>
      <c r="I105" s="7"/>
      <c r="J105" s="7"/>
      <c r="K105" s="7"/>
      <c r="L105" s="7"/>
      <c r="AN105" s="439"/>
    </row>
    <row r="106" spans="7:40" s="6" customFormat="1" ht="15.95" customHeight="1" x14ac:dyDescent="0.15">
      <c r="G106" s="7"/>
      <c r="H106" s="7"/>
      <c r="I106" s="7"/>
      <c r="J106" s="7"/>
      <c r="K106" s="7"/>
      <c r="L106" s="7"/>
      <c r="AN106" s="439"/>
    </row>
    <row r="107" spans="7:40" s="6" customFormat="1" ht="15.95" customHeight="1" x14ac:dyDescent="0.15">
      <c r="G107" s="7"/>
      <c r="H107" s="7"/>
      <c r="I107" s="7"/>
      <c r="J107" s="7"/>
      <c r="K107" s="7"/>
      <c r="L107" s="7"/>
      <c r="AN107" s="439"/>
    </row>
    <row r="108" spans="7:40" s="6" customFormat="1" ht="15.95" customHeight="1" x14ac:dyDescent="0.15">
      <c r="G108" s="7"/>
      <c r="H108" s="7"/>
      <c r="I108" s="7"/>
      <c r="J108" s="7"/>
      <c r="K108" s="7"/>
      <c r="L108" s="7"/>
      <c r="AN108" s="439"/>
    </row>
    <row r="109" spans="7:40" s="6" customFormat="1" ht="15.95" customHeight="1" x14ac:dyDescent="0.15">
      <c r="G109" s="7"/>
      <c r="H109" s="7"/>
      <c r="I109" s="7"/>
      <c r="J109" s="7"/>
      <c r="K109" s="7"/>
      <c r="L109" s="7"/>
      <c r="AN109" s="439"/>
    </row>
    <row r="110" spans="7:40" s="6" customFormat="1" ht="15.95" customHeight="1" x14ac:dyDescent="0.15">
      <c r="G110" s="7"/>
      <c r="H110" s="7"/>
      <c r="I110" s="7"/>
      <c r="J110" s="7"/>
      <c r="K110" s="7"/>
      <c r="L110" s="7"/>
      <c r="AN110" s="439"/>
    </row>
    <row r="111" spans="7:40" s="6" customFormat="1" ht="15.95" customHeight="1" x14ac:dyDescent="0.15">
      <c r="G111" s="7"/>
      <c r="H111" s="7"/>
      <c r="I111" s="7"/>
      <c r="J111" s="7"/>
      <c r="K111" s="7"/>
      <c r="L111" s="7"/>
      <c r="AN111" s="439"/>
    </row>
    <row r="112" spans="7:40" s="6" customFormat="1" ht="15.95" customHeight="1" x14ac:dyDescent="0.15">
      <c r="G112" s="7"/>
      <c r="H112" s="7"/>
      <c r="I112" s="7"/>
      <c r="J112" s="7"/>
      <c r="K112" s="7"/>
      <c r="L112" s="7"/>
      <c r="AN112" s="439"/>
    </row>
    <row r="113" spans="7:40" s="6" customFormat="1" ht="15.95" customHeight="1" x14ac:dyDescent="0.15">
      <c r="G113" s="7"/>
      <c r="H113" s="7"/>
      <c r="I113" s="7"/>
      <c r="J113" s="7"/>
      <c r="K113" s="7"/>
      <c r="L113" s="7"/>
      <c r="AN113" s="439"/>
    </row>
    <row r="114" spans="7:40" s="6" customFormat="1" ht="15.95" customHeight="1" x14ac:dyDescent="0.15">
      <c r="G114" s="7"/>
      <c r="H114" s="7"/>
      <c r="I114" s="7"/>
      <c r="J114" s="7"/>
      <c r="K114" s="7"/>
      <c r="L114" s="7"/>
      <c r="AN114" s="439"/>
    </row>
    <row r="115" spans="7:40" s="6" customFormat="1" ht="15.95" customHeight="1" x14ac:dyDescent="0.15">
      <c r="G115" s="7"/>
      <c r="H115" s="7"/>
      <c r="I115" s="7"/>
      <c r="J115" s="7"/>
      <c r="K115" s="7"/>
      <c r="L115" s="7"/>
      <c r="AN115" s="439"/>
    </row>
    <row r="116" spans="7:40" s="6" customFormat="1" ht="15.95" customHeight="1" x14ac:dyDescent="0.15">
      <c r="G116" s="7"/>
      <c r="H116" s="7"/>
      <c r="I116" s="7"/>
      <c r="J116" s="7"/>
      <c r="K116" s="7"/>
      <c r="L116" s="7"/>
      <c r="AN116" s="439"/>
    </row>
    <row r="117" spans="7:40" s="6" customFormat="1" ht="15.95" customHeight="1" x14ac:dyDescent="0.15">
      <c r="G117" s="7"/>
      <c r="H117" s="7"/>
      <c r="I117" s="7"/>
      <c r="J117" s="7"/>
      <c r="K117" s="7"/>
      <c r="L117" s="7"/>
      <c r="AN117" s="439"/>
    </row>
    <row r="118" spans="7:40" s="6" customFormat="1" ht="15.95" customHeight="1" x14ac:dyDescent="0.15">
      <c r="G118" s="7"/>
      <c r="H118" s="7"/>
      <c r="I118" s="7"/>
      <c r="J118" s="7"/>
      <c r="K118" s="7"/>
      <c r="L118" s="7"/>
      <c r="AN118" s="439"/>
    </row>
    <row r="119" spans="7:40" s="6" customFormat="1" ht="15.95" customHeight="1" x14ac:dyDescent="0.15">
      <c r="G119" s="7"/>
      <c r="H119" s="7"/>
      <c r="I119" s="7"/>
      <c r="J119" s="7"/>
      <c r="K119" s="7"/>
      <c r="L119" s="7"/>
      <c r="AN119" s="439"/>
    </row>
    <row r="120" spans="7:40" s="6" customFormat="1" ht="15.95" customHeight="1" x14ac:dyDescent="0.15">
      <c r="G120" s="7"/>
      <c r="H120" s="7"/>
      <c r="I120" s="7"/>
      <c r="J120" s="7"/>
      <c r="K120" s="7"/>
      <c r="L120" s="7"/>
      <c r="AN120" s="439"/>
    </row>
    <row r="121" spans="7:40" s="6" customFormat="1" ht="15.95" customHeight="1" x14ac:dyDescent="0.15">
      <c r="G121" s="7"/>
      <c r="H121" s="7"/>
      <c r="I121" s="7"/>
      <c r="J121" s="7"/>
      <c r="K121" s="7"/>
      <c r="L121" s="7"/>
      <c r="AN121" s="439"/>
    </row>
    <row r="122" spans="7:40" s="6" customFormat="1" ht="15.95" customHeight="1" x14ac:dyDescent="0.15">
      <c r="G122" s="7"/>
      <c r="H122" s="7"/>
      <c r="I122" s="7"/>
      <c r="J122" s="7"/>
      <c r="K122" s="7"/>
      <c r="L122" s="7"/>
      <c r="AN122" s="439"/>
    </row>
    <row r="123" spans="7:40" s="6" customFormat="1" ht="15.95" customHeight="1" x14ac:dyDescent="0.15">
      <c r="G123" s="7"/>
      <c r="H123" s="7"/>
      <c r="I123" s="7"/>
      <c r="J123" s="7"/>
      <c r="K123" s="7"/>
      <c r="L123" s="7"/>
      <c r="AN123" s="439"/>
    </row>
    <row r="124" spans="7:40" s="6" customFormat="1" ht="15.95" customHeight="1" x14ac:dyDescent="0.15">
      <c r="G124" s="7"/>
      <c r="H124" s="7"/>
      <c r="I124" s="7"/>
      <c r="J124" s="7"/>
      <c r="K124" s="7"/>
      <c r="L124" s="7"/>
      <c r="AN124" s="439"/>
    </row>
    <row r="125" spans="7:40" s="6" customFormat="1" ht="15.95" customHeight="1" x14ac:dyDescent="0.15">
      <c r="G125" s="7"/>
      <c r="H125" s="7"/>
      <c r="I125" s="7"/>
      <c r="J125" s="7"/>
      <c r="K125" s="7"/>
      <c r="L125" s="7"/>
      <c r="AN125" s="439"/>
    </row>
    <row r="126" spans="7:40" s="6" customFormat="1" ht="15.95" customHeight="1" x14ac:dyDescent="0.15">
      <c r="G126" s="7"/>
      <c r="H126" s="7"/>
      <c r="I126" s="7"/>
      <c r="J126" s="7"/>
      <c r="K126" s="7"/>
      <c r="L126" s="7"/>
      <c r="AN126" s="439"/>
    </row>
    <row r="127" spans="7:40" s="6" customFormat="1" ht="15.95" customHeight="1" x14ac:dyDescent="0.15">
      <c r="G127" s="7"/>
      <c r="H127" s="7"/>
      <c r="I127" s="7"/>
      <c r="J127" s="7"/>
      <c r="K127" s="7"/>
      <c r="L127" s="7"/>
      <c r="AN127" s="439"/>
    </row>
    <row r="128" spans="7:40" s="6" customFormat="1" ht="15.95" customHeight="1" x14ac:dyDescent="0.15">
      <c r="G128" s="7"/>
      <c r="H128" s="7"/>
      <c r="I128" s="7"/>
      <c r="J128" s="7"/>
      <c r="K128" s="7"/>
      <c r="L128" s="7"/>
      <c r="AN128" s="439"/>
    </row>
    <row r="129" spans="7:40" s="6" customFormat="1" ht="15.95" customHeight="1" x14ac:dyDescent="0.15">
      <c r="G129" s="7"/>
      <c r="H129" s="7"/>
      <c r="I129" s="7"/>
      <c r="J129" s="7"/>
      <c r="K129" s="7"/>
      <c r="L129" s="7"/>
      <c r="AN129" s="439"/>
    </row>
    <row r="130" spans="7:40" s="6" customFormat="1" ht="15.95" customHeight="1" x14ac:dyDescent="0.15">
      <c r="G130" s="7"/>
      <c r="H130" s="7"/>
      <c r="I130" s="7"/>
      <c r="J130" s="7"/>
      <c r="K130" s="7"/>
      <c r="L130" s="7"/>
      <c r="AN130" s="439"/>
    </row>
    <row r="131" spans="7:40" s="6" customFormat="1" ht="15.95" customHeight="1" x14ac:dyDescent="0.15">
      <c r="G131" s="7"/>
      <c r="H131" s="7"/>
      <c r="I131" s="7"/>
      <c r="J131" s="7"/>
      <c r="K131" s="7"/>
      <c r="L131" s="7"/>
      <c r="AN131" s="439"/>
    </row>
    <row r="132" spans="7:40" s="6" customFormat="1" ht="15.95" customHeight="1" x14ac:dyDescent="0.15">
      <c r="G132" s="7"/>
      <c r="H132" s="7"/>
      <c r="I132" s="7"/>
      <c r="J132" s="7"/>
      <c r="K132" s="7"/>
      <c r="L132" s="7"/>
      <c r="AN132" s="439"/>
    </row>
    <row r="133" spans="7:40" s="6" customFormat="1" ht="15.95" customHeight="1" x14ac:dyDescent="0.15">
      <c r="G133" s="7"/>
      <c r="H133" s="7"/>
      <c r="I133" s="7"/>
      <c r="J133" s="7"/>
      <c r="K133" s="7"/>
      <c r="L133" s="7"/>
      <c r="AN133" s="439"/>
    </row>
    <row r="134" spans="7:40" s="6" customFormat="1" ht="15.95" customHeight="1" x14ac:dyDescent="0.15">
      <c r="G134" s="7"/>
      <c r="H134" s="7"/>
      <c r="I134" s="7"/>
      <c r="J134" s="7"/>
      <c r="K134" s="7"/>
      <c r="L134" s="7"/>
      <c r="AN134" s="439"/>
    </row>
    <row r="135" spans="7:40" s="6" customFormat="1" ht="15.95" customHeight="1" x14ac:dyDescent="0.15">
      <c r="G135" s="7"/>
      <c r="H135" s="7"/>
      <c r="I135" s="7"/>
      <c r="J135" s="7"/>
      <c r="K135" s="7"/>
      <c r="L135" s="7"/>
      <c r="AN135" s="439"/>
    </row>
    <row r="136" spans="7:40" s="6" customFormat="1" ht="15.95" customHeight="1" x14ac:dyDescent="0.15">
      <c r="G136" s="7"/>
      <c r="H136" s="7"/>
      <c r="I136" s="7"/>
      <c r="J136" s="7"/>
      <c r="K136" s="7"/>
      <c r="L136" s="7"/>
      <c r="AN136" s="439"/>
    </row>
    <row r="137" spans="7:40" s="6" customFormat="1" ht="15.95" customHeight="1" x14ac:dyDescent="0.15">
      <c r="G137" s="7"/>
      <c r="H137" s="7"/>
      <c r="I137" s="7"/>
      <c r="J137" s="7"/>
      <c r="K137" s="7"/>
      <c r="L137" s="7"/>
      <c r="AN137" s="439"/>
    </row>
    <row r="138" spans="7:40" s="6" customFormat="1" ht="15.95" customHeight="1" x14ac:dyDescent="0.15">
      <c r="G138" s="7"/>
      <c r="H138" s="7"/>
      <c r="I138" s="7"/>
      <c r="J138" s="7"/>
      <c r="K138" s="7"/>
      <c r="L138" s="7"/>
      <c r="AN138" s="439"/>
    </row>
    <row r="139" spans="7:40" s="6" customFormat="1" ht="15.95" customHeight="1" x14ac:dyDescent="0.15">
      <c r="G139" s="7"/>
      <c r="H139" s="7"/>
      <c r="I139" s="7"/>
      <c r="J139" s="7"/>
      <c r="K139" s="7"/>
      <c r="L139" s="7"/>
      <c r="AN139" s="439"/>
    </row>
    <row r="140" spans="7:40" s="6" customFormat="1" ht="15.95" customHeight="1" x14ac:dyDescent="0.15">
      <c r="G140" s="7"/>
      <c r="H140" s="7"/>
      <c r="I140" s="7"/>
      <c r="J140" s="7"/>
      <c r="K140" s="7"/>
      <c r="L140" s="7"/>
      <c r="AN140" s="439"/>
    </row>
    <row r="141" spans="7:40" s="6" customFormat="1" ht="15.95" customHeight="1" x14ac:dyDescent="0.15">
      <c r="G141" s="7"/>
      <c r="H141" s="7"/>
      <c r="I141" s="7"/>
      <c r="J141" s="7"/>
      <c r="K141" s="7"/>
      <c r="L141" s="7"/>
      <c r="AN141" s="439"/>
    </row>
    <row r="142" spans="7:40" s="6" customFormat="1" ht="15.95" customHeight="1" x14ac:dyDescent="0.15">
      <c r="G142" s="7"/>
      <c r="H142" s="7"/>
      <c r="I142" s="7"/>
      <c r="J142" s="7"/>
      <c r="K142" s="7"/>
      <c r="L142" s="7"/>
      <c r="AN142" s="439"/>
    </row>
    <row r="143" spans="7:40" s="6" customFormat="1" ht="15.95" customHeight="1" x14ac:dyDescent="0.15">
      <c r="G143" s="7"/>
      <c r="H143" s="7"/>
      <c r="I143" s="7"/>
      <c r="J143" s="7"/>
      <c r="K143" s="7"/>
      <c r="L143" s="7"/>
      <c r="AN143" s="439"/>
    </row>
    <row r="144" spans="7:40" s="6" customFormat="1" ht="15.95" customHeight="1" x14ac:dyDescent="0.15">
      <c r="G144" s="7"/>
      <c r="H144" s="7"/>
      <c r="I144" s="7"/>
      <c r="J144" s="7"/>
      <c r="K144" s="7"/>
      <c r="L144" s="7"/>
      <c r="AN144" s="439"/>
    </row>
    <row r="145" spans="7:47" s="6" customFormat="1" ht="15.95" customHeight="1" x14ac:dyDescent="0.15">
      <c r="G145" s="7"/>
      <c r="H145" s="7"/>
      <c r="I145" s="7"/>
      <c r="J145" s="7"/>
      <c r="K145" s="7"/>
      <c r="L145" s="7"/>
      <c r="AN145" s="439"/>
    </row>
    <row r="146" spans="7:47" s="6" customFormat="1" ht="15.95" customHeight="1" x14ac:dyDescent="0.15">
      <c r="G146" s="7"/>
      <c r="H146" s="7"/>
      <c r="I146" s="7"/>
      <c r="J146" s="7"/>
      <c r="K146" s="7"/>
      <c r="L146" s="7"/>
      <c r="AN146" s="439"/>
    </row>
    <row r="147" spans="7:47" s="6" customFormat="1" ht="15.95" customHeight="1" x14ac:dyDescent="0.15">
      <c r="G147" s="7"/>
      <c r="H147" s="7"/>
      <c r="I147" s="7"/>
      <c r="J147" s="7"/>
      <c r="K147" s="7"/>
      <c r="L147" s="7"/>
      <c r="AN147" s="439"/>
    </row>
    <row r="148" spans="7:47" s="6" customFormat="1" ht="15.95" customHeight="1" x14ac:dyDescent="0.15">
      <c r="G148" s="7"/>
      <c r="H148" s="7"/>
      <c r="I148" s="7"/>
      <c r="J148" s="7"/>
      <c r="K148" s="7"/>
      <c r="L148" s="7"/>
      <c r="AN148" s="439"/>
    </row>
    <row r="149" spans="7:47" s="6" customFormat="1" ht="15.95" customHeight="1" x14ac:dyDescent="0.15">
      <c r="G149" s="7"/>
      <c r="H149" s="7"/>
      <c r="I149" s="7"/>
      <c r="J149" s="7"/>
      <c r="K149" s="7"/>
      <c r="L149" s="7"/>
      <c r="AN149" s="439"/>
    </row>
    <row r="150" spans="7:47" s="6" customFormat="1" ht="15.95" customHeight="1" x14ac:dyDescent="0.15">
      <c r="G150" s="7"/>
      <c r="H150" s="7"/>
      <c r="I150" s="7"/>
      <c r="J150" s="7"/>
      <c r="K150" s="7"/>
      <c r="L150" s="7"/>
      <c r="AN150" s="439"/>
    </row>
    <row r="151" spans="7:47" s="6" customFormat="1" ht="15.95" customHeight="1" x14ac:dyDescent="0.15">
      <c r="AN151" s="439"/>
    </row>
    <row r="152" spans="7:47" s="6" customFormat="1" ht="15.95" customHeight="1" x14ac:dyDescent="0.15">
      <c r="AN152" s="439"/>
    </row>
    <row r="153" spans="7:47" s="6" customFormat="1" ht="15.95" customHeight="1" x14ac:dyDescent="0.15">
      <c r="AN153" s="439"/>
    </row>
    <row r="154" spans="7:47" s="6" customFormat="1" ht="15.95" customHeight="1" x14ac:dyDescent="0.15">
      <c r="AN154" s="439"/>
    </row>
    <row r="155" spans="7:47" s="6" customFormat="1" ht="15.95" customHeight="1" x14ac:dyDescent="0.15">
      <c r="AN155" s="439"/>
    </row>
    <row r="156" spans="7:47" s="6" customFormat="1" ht="15.95" customHeight="1" x14ac:dyDescent="0.15">
      <c r="W156" s="17"/>
      <c r="X156" s="17"/>
      <c r="AC156" s="17"/>
      <c r="AD156" s="17"/>
      <c r="AH156" s="17"/>
      <c r="AI156" s="17"/>
      <c r="AJ156" s="17"/>
      <c r="AK156" s="17"/>
      <c r="AN156" s="439"/>
    </row>
    <row r="157" spans="7:47" x14ac:dyDescent="0.15">
      <c r="J157" s="17"/>
      <c r="K157" s="17"/>
      <c r="L157" s="17"/>
      <c r="M157" s="17"/>
      <c r="Y157" s="17"/>
      <c r="Z157" s="17"/>
      <c r="AA157" s="17"/>
      <c r="AB157" s="17"/>
      <c r="AM157" s="6"/>
      <c r="AN157" s="439"/>
      <c r="AO157" s="6"/>
      <c r="AP157" s="6"/>
      <c r="AQ157" s="6"/>
      <c r="AR157" s="6"/>
      <c r="AS157" s="6"/>
      <c r="AT157" s="6"/>
      <c r="AU157" s="6"/>
    </row>
    <row r="158" spans="7:47" x14ac:dyDescent="0.15">
      <c r="J158" s="17"/>
      <c r="K158" s="17"/>
      <c r="L158" s="17"/>
      <c r="M158" s="17"/>
      <c r="Y158" s="17"/>
      <c r="Z158" s="17"/>
      <c r="AA158" s="17"/>
      <c r="AB158" s="17"/>
      <c r="AM158" s="6"/>
      <c r="AN158" s="439"/>
      <c r="AO158" s="6"/>
      <c r="AP158" s="6"/>
      <c r="AQ158" s="6"/>
      <c r="AR158" s="6"/>
      <c r="AS158" s="6"/>
      <c r="AT158" s="6"/>
      <c r="AU158" s="6"/>
    </row>
    <row r="159" spans="7:47" x14ac:dyDescent="0.15">
      <c r="J159" s="17"/>
      <c r="K159" s="17"/>
      <c r="L159" s="17"/>
      <c r="M159" s="17"/>
      <c r="Y159" s="17"/>
      <c r="Z159" s="17"/>
      <c r="AA159" s="17"/>
      <c r="AB159" s="17"/>
      <c r="AM159" s="6"/>
      <c r="AN159" s="439"/>
      <c r="AO159" s="6"/>
      <c r="AP159" s="6"/>
      <c r="AQ159" s="6"/>
      <c r="AR159" s="6"/>
      <c r="AS159" s="6"/>
      <c r="AT159" s="6"/>
      <c r="AU159" s="6"/>
    </row>
    <row r="160" spans="7:47" x14ac:dyDescent="0.15">
      <c r="J160" s="17"/>
      <c r="K160" s="17"/>
      <c r="L160" s="17"/>
      <c r="M160" s="17"/>
      <c r="Y160" s="17"/>
      <c r="Z160" s="17"/>
      <c r="AA160" s="17"/>
      <c r="AB160" s="17"/>
      <c r="AM160" s="6"/>
      <c r="AN160" s="439"/>
      <c r="AO160" s="6"/>
      <c r="AP160" s="6"/>
      <c r="AQ160" s="6"/>
      <c r="AR160" s="6"/>
      <c r="AS160" s="6"/>
      <c r="AT160" s="6"/>
      <c r="AU160" s="6"/>
    </row>
    <row r="161" spans="25:47" x14ac:dyDescent="0.15">
      <c r="Y161" s="17"/>
      <c r="Z161" s="17"/>
      <c r="AA161" s="17"/>
      <c r="AB161" s="17"/>
      <c r="AM161" s="6"/>
      <c r="AN161" s="439"/>
      <c r="AO161" s="6"/>
      <c r="AP161" s="6"/>
      <c r="AQ161" s="6"/>
      <c r="AR161" s="6"/>
      <c r="AS161" s="6"/>
      <c r="AT161" s="6"/>
      <c r="AU161" s="6"/>
    </row>
    <row r="162" spans="25:47" x14ac:dyDescent="0.15">
      <c r="Y162" s="17"/>
      <c r="Z162" s="17"/>
      <c r="AA162" s="17"/>
      <c r="AB162" s="17"/>
      <c r="AM162" s="6"/>
      <c r="AN162" s="439"/>
      <c r="AO162" s="6"/>
      <c r="AP162" s="6"/>
      <c r="AQ162" s="6"/>
      <c r="AR162" s="6"/>
      <c r="AS162" s="6"/>
      <c r="AT162" s="6"/>
      <c r="AU162" s="6"/>
    </row>
    <row r="163" spans="25:47" x14ac:dyDescent="0.15">
      <c r="Y163" s="17"/>
      <c r="Z163" s="17"/>
      <c r="AA163" s="17"/>
      <c r="AB163" s="17"/>
      <c r="AM163" s="6"/>
      <c r="AN163" s="439"/>
      <c r="AO163" s="6"/>
      <c r="AP163" s="6"/>
      <c r="AQ163" s="6"/>
      <c r="AR163" s="6"/>
      <c r="AS163" s="6"/>
      <c r="AT163" s="6"/>
      <c r="AU163" s="6"/>
    </row>
    <row r="164" spans="25:47" x14ac:dyDescent="0.15">
      <c r="Y164" s="17"/>
      <c r="Z164" s="17"/>
      <c r="AA164" s="17"/>
      <c r="AB164" s="17"/>
      <c r="AM164" s="6"/>
      <c r="AN164" s="439"/>
      <c r="AO164" s="6"/>
      <c r="AP164" s="6"/>
      <c r="AQ164" s="6"/>
      <c r="AR164" s="6"/>
      <c r="AS164" s="6"/>
      <c r="AT164" s="6"/>
      <c r="AU164" s="6"/>
    </row>
    <row r="165" spans="25:47" x14ac:dyDescent="0.15">
      <c r="Y165" s="17"/>
      <c r="Z165" s="17"/>
      <c r="AA165" s="17"/>
      <c r="AB165" s="17"/>
      <c r="AM165" s="6"/>
      <c r="AN165" s="439"/>
      <c r="AO165" s="6"/>
      <c r="AP165" s="6"/>
      <c r="AQ165" s="6"/>
      <c r="AR165" s="6"/>
      <c r="AS165" s="6"/>
      <c r="AT165" s="6"/>
      <c r="AU165" s="6"/>
    </row>
    <row r="166" spans="25:47" x14ac:dyDescent="0.15">
      <c r="Y166" s="17"/>
      <c r="Z166" s="17"/>
      <c r="AA166" s="17"/>
      <c r="AB166" s="17"/>
      <c r="AM166" s="6"/>
      <c r="AN166" s="439"/>
      <c r="AO166" s="6"/>
      <c r="AP166" s="6"/>
      <c r="AQ166" s="6"/>
      <c r="AR166" s="6"/>
      <c r="AS166" s="6"/>
      <c r="AT166" s="6"/>
      <c r="AU166" s="6"/>
    </row>
    <row r="167" spans="25:47" x14ac:dyDescent="0.15">
      <c r="Y167" s="17"/>
      <c r="Z167" s="17"/>
      <c r="AA167" s="17"/>
      <c r="AB167" s="17"/>
      <c r="AM167" s="6"/>
      <c r="AN167" s="439"/>
      <c r="AO167" s="6"/>
      <c r="AP167" s="6"/>
      <c r="AQ167" s="6"/>
      <c r="AR167" s="6"/>
      <c r="AS167" s="6"/>
      <c r="AT167" s="6"/>
      <c r="AU167" s="6"/>
    </row>
    <row r="168" spans="25:47" x14ac:dyDescent="0.15">
      <c r="Y168" s="17"/>
      <c r="Z168" s="17"/>
      <c r="AA168" s="17"/>
      <c r="AB168" s="17"/>
      <c r="AM168" s="6"/>
      <c r="AN168" s="439"/>
      <c r="AO168" s="6"/>
      <c r="AP168" s="6"/>
      <c r="AQ168" s="6"/>
      <c r="AR168" s="6"/>
      <c r="AS168" s="6"/>
      <c r="AT168" s="6"/>
      <c r="AU168" s="6"/>
    </row>
    <row r="169" spans="25:47" x14ac:dyDescent="0.15">
      <c r="Y169" s="17"/>
      <c r="Z169" s="17"/>
      <c r="AA169" s="17"/>
      <c r="AB169" s="17"/>
      <c r="AM169" s="6"/>
      <c r="AN169" s="439"/>
      <c r="AO169" s="6"/>
      <c r="AP169" s="6"/>
      <c r="AQ169" s="6"/>
      <c r="AR169" s="6"/>
      <c r="AS169" s="6"/>
      <c r="AT169" s="6"/>
      <c r="AU169" s="6"/>
    </row>
    <row r="170" spans="25:47" x14ac:dyDescent="0.15">
      <c r="Y170" s="17"/>
      <c r="Z170" s="17"/>
      <c r="AA170" s="17"/>
      <c r="AB170" s="17"/>
      <c r="AM170" s="6"/>
      <c r="AN170" s="439"/>
      <c r="AO170" s="6"/>
      <c r="AP170" s="6"/>
      <c r="AQ170" s="6"/>
      <c r="AR170" s="6"/>
      <c r="AS170" s="6"/>
      <c r="AT170" s="6"/>
      <c r="AU170" s="6"/>
    </row>
    <row r="171" spans="25:47" x14ac:dyDescent="0.15">
      <c r="Y171" s="17"/>
      <c r="Z171" s="17"/>
      <c r="AA171" s="17"/>
      <c r="AB171" s="17"/>
      <c r="AM171" s="6"/>
      <c r="AN171" s="439"/>
      <c r="AO171" s="6"/>
      <c r="AP171" s="6"/>
      <c r="AQ171" s="6"/>
      <c r="AR171" s="6"/>
      <c r="AS171" s="6"/>
      <c r="AT171" s="6"/>
      <c r="AU171" s="6"/>
    </row>
    <row r="172" spans="25:47" x14ac:dyDescent="0.15">
      <c r="Y172" s="17"/>
      <c r="Z172" s="17"/>
      <c r="AA172" s="17"/>
      <c r="AB172" s="17"/>
      <c r="AM172" s="6"/>
      <c r="AN172" s="439"/>
      <c r="AO172" s="6"/>
      <c r="AP172" s="6"/>
      <c r="AQ172" s="6"/>
      <c r="AR172" s="6"/>
      <c r="AS172" s="6"/>
      <c r="AT172" s="6"/>
      <c r="AU172" s="6"/>
    </row>
    <row r="173" spans="25:47" x14ac:dyDescent="0.15">
      <c r="Y173" s="17"/>
      <c r="Z173" s="17"/>
      <c r="AA173" s="17"/>
      <c r="AB173" s="17"/>
      <c r="AM173" s="6"/>
      <c r="AN173" s="439"/>
      <c r="AO173" s="6"/>
      <c r="AP173" s="6"/>
      <c r="AQ173" s="6"/>
      <c r="AR173" s="6"/>
      <c r="AS173" s="6"/>
      <c r="AT173" s="6"/>
      <c r="AU173" s="6"/>
    </row>
    <row r="174" spans="25:47" x14ac:dyDescent="0.15">
      <c r="Y174" s="17"/>
      <c r="Z174" s="17"/>
      <c r="AA174" s="17"/>
      <c r="AB174" s="17"/>
      <c r="AM174" s="6"/>
      <c r="AN174" s="439"/>
      <c r="AO174" s="6"/>
      <c r="AP174" s="6"/>
      <c r="AQ174" s="6"/>
      <c r="AR174" s="6"/>
      <c r="AS174" s="6"/>
      <c r="AT174" s="6"/>
      <c r="AU174" s="6"/>
    </row>
    <row r="175" spans="25:47" x14ac:dyDescent="0.15">
      <c r="Y175" s="17"/>
      <c r="Z175" s="17"/>
      <c r="AA175" s="17"/>
      <c r="AB175" s="17"/>
    </row>
    <row r="176" spans="25:47" x14ac:dyDescent="0.15">
      <c r="Y176" s="17"/>
      <c r="Z176" s="17"/>
      <c r="AA176" s="17"/>
      <c r="AB176" s="17"/>
    </row>
    <row r="177" spans="25:28" x14ac:dyDescent="0.15">
      <c r="Y177" s="17"/>
      <c r="Z177" s="17"/>
      <c r="AA177" s="17"/>
      <c r="AB177" s="17"/>
    </row>
    <row r="178" spans="25:28" x14ac:dyDescent="0.15">
      <c r="Y178" s="17"/>
      <c r="Z178" s="17"/>
      <c r="AA178" s="17"/>
      <c r="AB178" s="17"/>
    </row>
  </sheetData>
  <sheetProtection algorithmName="SHA-512" hashValue="tS/NQ12X3p8SSlSoVVFBBOKWU94tjl6AJWnZbVqQUQ4Chk+gAcfjGFf+FNVjG3tj05nJEXy6qu9KCxCWIVgg0Q==" saltValue="uA/T3gpHe7wTB4I1rgafIg==" spinCount="100000" sheet="1" objects="1" scenarios="1" selectLockedCells="1"/>
  <mergeCells count="37">
    <mergeCell ref="V13:W13"/>
    <mergeCell ref="Q14:U14"/>
    <mergeCell ref="V14:W14"/>
    <mergeCell ref="AH7:AK7"/>
    <mergeCell ref="AC8:AC9"/>
    <mergeCell ref="AD8:AD9"/>
    <mergeCell ref="AC10:AC11"/>
    <mergeCell ref="AD10:AD11"/>
    <mergeCell ref="O12:U12"/>
    <mergeCell ref="V12:W12"/>
    <mergeCell ref="G18:H18"/>
    <mergeCell ref="S18:T19"/>
    <mergeCell ref="N13:N14"/>
    <mergeCell ref="O13:O14"/>
    <mergeCell ref="Q13:U13"/>
    <mergeCell ref="S29:T29"/>
    <mergeCell ref="O15:W15"/>
    <mergeCell ref="N16:N17"/>
    <mergeCell ref="O16:O17"/>
    <mergeCell ref="S21:T22"/>
    <mergeCell ref="S25:T25"/>
    <mergeCell ref="S27:T27"/>
    <mergeCell ref="P30:S30"/>
    <mergeCell ref="P31:R31"/>
    <mergeCell ref="P32:R32"/>
    <mergeCell ref="P33:R33"/>
    <mergeCell ref="P35:S35"/>
    <mergeCell ref="N36:N37"/>
    <mergeCell ref="O36:O37"/>
    <mergeCell ref="P36:P37"/>
    <mergeCell ref="Q36:S36"/>
    <mergeCell ref="T36:V37"/>
    <mergeCell ref="T38:V38"/>
    <mergeCell ref="T39:V39"/>
    <mergeCell ref="T40:V40"/>
    <mergeCell ref="T41:V41"/>
    <mergeCell ref="T42:W43"/>
  </mergeCells>
  <phoneticPr fontId="2" type="noConversion"/>
  <conditionalFormatting sqref="B1:M8 B9:F9 H9:M9 B10:M1048576">
    <cfRule type="expression" dxfId="3" priority="4">
      <formula>$Q$1=1</formula>
    </cfRule>
  </conditionalFormatting>
  <conditionalFormatting sqref="E7">
    <cfRule type="expression" dxfId="2" priority="3">
      <formula>$F$17=1</formula>
    </cfRule>
  </conditionalFormatting>
  <conditionalFormatting sqref="AC10 AE10:AF11">
    <cfRule type="expression" dxfId="1" priority="2">
      <formula>$AD$7=2</formula>
    </cfRule>
  </conditionalFormatting>
  <conditionalFormatting sqref="AC32 AJ32:AK32">
    <cfRule type="expression" dxfId="0" priority="5">
      <formula>$AI$30=2</formula>
    </cfRule>
  </conditionalFormatting>
  <printOptions horizontalCentered="1"/>
  <pageMargins left="0.51181102362204722" right="0.51181102362204722" top="0.78740157480314965" bottom="0.59055118110236227" header="0.39370078740157483" footer="0.39370078740157483"/>
  <pageSetup paperSize="9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8654CC-5557-407D-866F-03ECA41E225A}">
  <sheetPr codeName="Sheet17">
    <tabColor rgb="FF00B0F0"/>
  </sheetPr>
  <dimension ref="A1:AA158"/>
  <sheetViews>
    <sheetView view="pageBreakPreview" zoomScale="75" zoomScaleNormal="100" zoomScaleSheetLayoutView="75" workbookViewId="0">
      <selection activeCell="G6" sqref="G6"/>
    </sheetView>
  </sheetViews>
  <sheetFormatPr defaultRowHeight="15.95" customHeight="1" x14ac:dyDescent="0.15"/>
  <cols>
    <col min="1" max="1" width="2.77734375" style="24" customWidth="1"/>
    <col min="2" max="2" width="7.33203125" style="24" customWidth="1"/>
    <col min="3" max="3" width="5.33203125" style="24" customWidth="1"/>
    <col min="4" max="4" width="9.33203125" style="24" customWidth="1"/>
    <col min="5" max="5" width="5.33203125" style="24" customWidth="1"/>
    <col min="6" max="6" width="9.33203125" style="24" customWidth="1"/>
    <col min="7" max="8" width="7.33203125" style="24" customWidth="1"/>
    <col min="9" max="9" width="5.33203125" style="24" customWidth="1"/>
    <col min="10" max="10" width="9.33203125" style="24" customWidth="1"/>
    <col min="11" max="11" width="7.33203125" style="24" customWidth="1"/>
    <col min="12" max="12" width="2.77734375" style="24" customWidth="1"/>
    <col min="13" max="13" width="6.77734375" style="24" customWidth="1"/>
    <col min="14" max="14" width="8.88671875" style="24" customWidth="1"/>
    <col min="15" max="15" width="10.6640625" style="24" customWidth="1"/>
    <col min="16" max="16" width="9.77734375" style="24" customWidth="1"/>
    <col min="17" max="17" width="6.77734375" style="24" customWidth="1"/>
    <col min="18" max="18" width="8.77734375" style="24" customWidth="1"/>
    <col min="19" max="20" width="6.77734375" style="24" customWidth="1"/>
    <col min="21" max="21" width="9.77734375" style="24" hidden="1" customWidth="1"/>
    <col min="22" max="22" width="0" style="38" hidden="1" customWidth="1"/>
    <col min="23" max="23" width="5.77734375" style="24" hidden="1" customWidth="1"/>
    <col min="24" max="24" width="5.77734375" style="38" hidden="1" customWidth="1"/>
    <col min="25" max="25" width="5.77734375" style="24" hidden="1" customWidth="1"/>
    <col min="26" max="26" width="5.77734375" style="38" hidden="1" customWidth="1"/>
    <col min="27" max="27" width="9.6640625" style="24" hidden="1" customWidth="1"/>
    <col min="28" max="16384" width="8.88671875" style="24"/>
  </cols>
  <sheetData>
    <row r="1" spans="1:18" ht="15.95" customHeight="1" x14ac:dyDescent="0.15">
      <c r="A1" s="76" t="s">
        <v>188</v>
      </c>
    </row>
    <row r="3" spans="1:18" ht="15.95" customHeight="1" x14ac:dyDescent="0.15">
      <c r="B3" s="77" t="s">
        <v>58</v>
      </c>
    </row>
    <row r="5" spans="1:18" ht="15.95" customHeight="1" x14ac:dyDescent="0.15">
      <c r="B5" s="78" t="s">
        <v>994</v>
      </c>
      <c r="C5" s="20" t="s">
        <v>4</v>
      </c>
      <c r="D5" s="443">
        <f>지진하중!E37</f>
        <v>0.15317866666666669</v>
      </c>
      <c r="E5" s="43" t="s">
        <v>456</v>
      </c>
      <c r="H5" s="36" t="s">
        <v>997</v>
      </c>
      <c r="I5" s="49"/>
      <c r="M5" s="38"/>
      <c r="N5" s="38"/>
      <c r="O5" s="38"/>
      <c r="P5" s="38"/>
      <c r="Q5" s="38"/>
      <c r="R5" s="38"/>
    </row>
    <row r="6" spans="1:18" ht="15.95" customHeight="1" x14ac:dyDescent="0.15">
      <c r="B6" s="78" t="s">
        <v>190</v>
      </c>
      <c r="C6" s="20" t="s">
        <v>4</v>
      </c>
      <c r="D6" s="172">
        <f>710100/100*9.80665</f>
        <v>69637.021649999995</v>
      </c>
      <c r="E6" s="43" t="s">
        <v>457</v>
      </c>
      <c r="F6" s="80" t="s">
        <v>191</v>
      </c>
      <c r="G6" s="561">
        <v>5</v>
      </c>
      <c r="H6" s="36" t="s">
        <v>203</v>
      </c>
      <c r="I6" s="43"/>
      <c r="M6" s="38"/>
      <c r="N6" s="38"/>
      <c r="O6" s="38"/>
      <c r="P6" s="38"/>
      <c r="Q6" s="38"/>
      <c r="R6" s="38"/>
    </row>
    <row r="7" spans="1:18" ht="15.95" customHeight="1" x14ac:dyDescent="0.15">
      <c r="B7" s="78" t="s">
        <v>60</v>
      </c>
      <c r="C7" s="20" t="s">
        <v>4</v>
      </c>
      <c r="D7" s="560">
        <v>1200</v>
      </c>
      <c r="E7" s="43" t="s">
        <v>458</v>
      </c>
      <c r="H7" s="36" t="s">
        <v>70</v>
      </c>
      <c r="M7" s="38"/>
      <c r="N7" s="38"/>
      <c r="O7" s="446"/>
      <c r="P7" s="38"/>
      <c r="Q7" s="38"/>
      <c r="R7" s="38"/>
    </row>
    <row r="8" spans="1:18" ht="15.95" customHeight="1" x14ac:dyDescent="0.15">
      <c r="B8" s="78" t="s">
        <v>61</v>
      </c>
      <c r="C8" s="20" t="s">
        <v>4</v>
      </c>
      <c r="D8" s="560">
        <v>1200</v>
      </c>
      <c r="E8" s="43" t="s">
        <v>458</v>
      </c>
      <c r="H8" s="36" t="s">
        <v>71</v>
      </c>
      <c r="M8" s="38"/>
      <c r="N8" s="38"/>
      <c r="O8" s="38"/>
      <c r="P8" s="38"/>
      <c r="Q8" s="38"/>
      <c r="R8" s="38"/>
    </row>
    <row r="9" spans="1:18" ht="15.95" customHeight="1" x14ac:dyDescent="0.15">
      <c r="B9" s="80" t="s">
        <v>392</v>
      </c>
      <c r="C9" s="20" t="s">
        <v>4</v>
      </c>
      <c r="D9" s="560">
        <v>5000</v>
      </c>
      <c r="E9" s="43" t="s">
        <v>458</v>
      </c>
      <c r="H9" s="36" t="s">
        <v>401</v>
      </c>
      <c r="I9" s="43"/>
      <c r="M9" s="38"/>
      <c r="N9" s="38"/>
      <c r="O9" s="38"/>
      <c r="P9" s="38"/>
      <c r="Q9" s="38"/>
      <c r="R9" s="38"/>
    </row>
    <row r="10" spans="1:18" ht="15.95" customHeight="1" x14ac:dyDescent="0.15">
      <c r="B10" s="80" t="s">
        <v>393</v>
      </c>
      <c r="C10" s="20" t="s">
        <v>4</v>
      </c>
      <c r="D10" s="560">
        <v>2600</v>
      </c>
      <c r="E10" s="43" t="s">
        <v>458</v>
      </c>
      <c r="H10" s="36" t="s">
        <v>72</v>
      </c>
      <c r="M10" s="38"/>
      <c r="N10" s="38"/>
      <c r="O10" s="38"/>
      <c r="P10" s="38"/>
      <c r="Q10" s="38"/>
      <c r="R10" s="38"/>
    </row>
    <row r="11" spans="1:18" ht="15.95" customHeight="1" x14ac:dyDescent="0.15">
      <c r="M11" s="38"/>
      <c r="N11" s="38"/>
      <c r="O11" s="38"/>
      <c r="P11" s="38"/>
      <c r="Q11" s="38"/>
      <c r="R11" s="38"/>
    </row>
    <row r="12" spans="1:18" ht="15.95" customHeight="1" x14ac:dyDescent="0.15">
      <c r="M12" s="38"/>
      <c r="N12" s="38"/>
      <c r="O12" s="38"/>
      <c r="P12" s="38"/>
      <c r="Q12" s="38"/>
      <c r="R12" s="38"/>
    </row>
    <row r="13" spans="1:18" ht="15.95" customHeight="1" x14ac:dyDescent="0.15">
      <c r="M13" s="38"/>
      <c r="N13" s="38"/>
      <c r="O13" s="38"/>
      <c r="P13" s="38"/>
      <c r="Q13" s="38"/>
      <c r="R13" s="38"/>
    </row>
    <row r="14" spans="1:18" ht="15.95" customHeight="1" x14ac:dyDescent="0.15">
      <c r="B14" s="36" t="s">
        <v>65</v>
      </c>
      <c r="C14" s="20" t="s">
        <v>4</v>
      </c>
      <c r="D14" s="172">
        <f>D84</f>
        <v>402094.00000000006</v>
      </c>
      <c r="E14" s="43" t="s">
        <v>497</v>
      </c>
      <c r="F14" s="36"/>
      <c r="H14" s="162" t="s">
        <v>66</v>
      </c>
      <c r="I14" s="20" t="s">
        <v>4</v>
      </c>
      <c r="J14" s="108">
        <f>D130</f>
        <v>0.57448400377789921</v>
      </c>
      <c r="K14" s="83" t="str">
        <f>IF(J14&lt;1,"O.K","N.G")</f>
        <v>O.K</v>
      </c>
      <c r="M14" s="38"/>
      <c r="N14" s="447"/>
      <c r="O14" s="38"/>
      <c r="P14" s="38"/>
      <c r="Q14" s="38"/>
      <c r="R14" s="38"/>
    </row>
    <row r="16" spans="1:18" ht="15.95" customHeight="1" x14ac:dyDescent="0.15">
      <c r="B16" s="36" t="s">
        <v>120</v>
      </c>
      <c r="C16" s="20" t="s">
        <v>4</v>
      </c>
      <c r="D16" s="79">
        <f>D87</f>
        <v>32.519181572965572</v>
      </c>
      <c r="E16" s="43" t="s">
        <v>458</v>
      </c>
      <c r="F16" s="36"/>
      <c r="N16" s="448"/>
    </row>
    <row r="17" spans="2:26" ht="15.95" customHeight="1" x14ac:dyDescent="0.15">
      <c r="B17" s="36" t="s">
        <v>484</v>
      </c>
      <c r="C17" s="20" t="s">
        <v>4</v>
      </c>
      <c r="D17" s="79">
        <f>D150</f>
        <v>27.18333333333333</v>
      </c>
      <c r="E17" s="43" t="s">
        <v>458</v>
      </c>
      <c r="H17" s="80" t="s">
        <v>68</v>
      </c>
      <c r="I17" s="20" t="s">
        <v>4</v>
      </c>
      <c r="J17" s="108">
        <f>D155</f>
        <v>1.1962911676136938</v>
      </c>
      <c r="K17" s="83" t="str">
        <f>IF(J17&lt;1,"O.K","N.G")</f>
        <v>N.G</v>
      </c>
    </row>
    <row r="19" spans="2:26" ht="15.95" customHeight="1" x14ac:dyDescent="0.15">
      <c r="B19" s="78"/>
      <c r="C19" s="82"/>
      <c r="D19" s="20"/>
    </row>
    <row r="20" spans="2:26" ht="15.95" customHeight="1" x14ac:dyDescent="0.15">
      <c r="B20" s="77" t="s">
        <v>78</v>
      </c>
      <c r="E20" s="49"/>
      <c r="H20" s="77" t="s">
        <v>485</v>
      </c>
      <c r="J20" s="126">
        <v>1</v>
      </c>
      <c r="N20" s="24" t="s">
        <v>474</v>
      </c>
      <c r="Q20" s="20"/>
    </row>
    <row r="21" spans="2:26" ht="15.95" customHeight="1" thickBot="1" x14ac:dyDescent="0.2">
      <c r="K21" s="81"/>
      <c r="L21" s="81"/>
      <c r="M21" s="81"/>
    </row>
    <row r="22" spans="2:26" ht="15.95" customHeight="1" thickBot="1" x14ac:dyDescent="0.2">
      <c r="B22" s="138"/>
      <c r="C22" s="139"/>
      <c r="D22" s="139"/>
      <c r="E22" s="139"/>
      <c r="F22" s="139"/>
      <c r="G22" s="696"/>
      <c r="H22" s="696"/>
      <c r="I22" s="696"/>
      <c r="J22" s="696"/>
      <c r="K22" s="697"/>
      <c r="N22" s="138" t="s">
        <v>287</v>
      </c>
      <c r="O22" s="139"/>
      <c r="P22" s="139"/>
      <c r="Q22" s="138" t="s">
        <v>288</v>
      </c>
      <c r="R22" s="139"/>
      <c r="S22" s="140"/>
      <c r="U22" s="80" t="s">
        <v>155</v>
      </c>
      <c r="V22" s="24">
        <f>V36*X36</f>
        <v>60</v>
      </c>
      <c r="W22" s="80" t="s">
        <v>156</v>
      </c>
      <c r="X22" s="24">
        <f>X36/2</f>
        <v>15</v>
      </c>
      <c r="Y22" s="80" t="s">
        <v>157</v>
      </c>
      <c r="Z22" s="24">
        <f>V35+X34/2</f>
        <v>30</v>
      </c>
    </row>
    <row r="23" spans="2:26" ht="15.95" customHeight="1" x14ac:dyDescent="0.15">
      <c r="B23" s="91"/>
      <c r="G23" s="698"/>
      <c r="H23" s="698"/>
      <c r="I23" s="698"/>
      <c r="J23" s="698"/>
      <c r="K23" s="699"/>
      <c r="N23" s="84" t="s">
        <v>46</v>
      </c>
      <c r="O23" s="564">
        <v>60</v>
      </c>
      <c r="P23" s="154" t="s">
        <v>468</v>
      </c>
      <c r="Q23" s="84" t="s">
        <v>46</v>
      </c>
      <c r="R23" s="564">
        <v>60</v>
      </c>
      <c r="S23" s="85" t="s">
        <v>468</v>
      </c>
      <c r="U23" s="80" t="s">
        <v>158</v>
      </c>
      <c r="V23" s="24">
        <f>X34*V34</f>
        <v>112</v>
      </c>
      <c r="W23" s="80" t="s">
        <v>159</v>
      </c>
      <c r="X23" s="24">
        <f>X36+V34/2</f>
        <v>31</v>
      </c>
      <c r="Y23" s="80" t="s">
        <v>160</v>
      </c>
      <c r="Z23" s="24">
        <f>V35+X34/2</f>
        <v>30</v>
      </c>
    </row>
    <row r="24" spans="2:26" ht="15.95" customHeight="1" x14ac:dyDescent="0.15">
      <c r="B24" s="91"/>
      <c r="G24" s="698"/>
      <c r="H24" s="698"/>
      <c r="I24" s="698"/>
      <c r="J24" s="698"/>
      <c r="K24" s="699"/>
      <c r="N24" s="71" t="s">
        <v>199</v>
      </c>
      <c r="O24" s="565">
        <v>120</v>
      </c>
      <c r="P24" s="43" t="s">
        <v>468</v>
      </c>
      <c r="Q24" s="71" t="s">
        <v>199</v>
      </c>
      <c r="R24" s="565">
        <v>120</v>
      </c>
      <c r="S24" s="86" t="s">
        <v>468</v>
      </c>
      <c r="U24" s="80" t="s">
        <v>161</v>
      </c>
      <c r="V24" s="24">
        <f>X34*V34</f>
        <v>112</v>
      </c>
      <c r="W24" s="80" t="s">
        <v>162</v>
      </c>
      <c r="X24" s="24">
        <f>X36+(X35-V34)+V34/2</f>
        <v>149</v>
      </c>
      <c r="Y24" s="80" t="s">
        <v>163</v>
      </c>
      <c r="Z24" s="24">
        <f>V35+X34/2</f>
        <v>30</v>
      </c>
    </row>
    <row r="25" spans="2:26" ht="15.95" customHeight="1" x14ac:dyDescent="0.15">
      <c r="B25" s="91"/>
      <c r="G25" s="698"/>
      <c r="H25" s="698"/>
      <c r="I25" s="698"/>
      <c r="J25" s="698"/>
      <c r="K25" s="699"/>
      <c r="N25" s="71" t="s">
        <v>204</v>
      </c>
      <c r="O25" s="565">
        <v>30</v>
      </c>
      <c r="P25" s="43" t="s">
        <v>468</v>
      </c>
      <c r="Q25" s="91"/>
      <c r="R25" s="566"/>
      <c r="S25" s="110"/>
      <c r="U25" s="80" t="s">
        <v>164</v>
      </c>
      <c r="V25" s="24">
        <f>X35*V35</f>
        <v>240</v>
      </c>
      <c r="W25" s="80" t="s">
        <v>165</v>
      </c>
      <c r="X25" s="24">
        <f>X36+X35/2</f>
        <v>90</v>
      </c>
      <c r="Y25" s="80" t="s">
        <v>166</v>
      </c>
      <c r="Z25" s="24">
        <f>V35/2</f>
        <v>1</v>
      </c>
    </row>
    <row r="26" spans="2:26" ht="15.95" customHeight="1" x14ac:dyDescent="0.15">
      <c r="B26" s="91"/>
      <c r="G26" s="698"/>
      <c r="H26" s="698"/>
      <c r="I26" s="698"/>
      <c r="J26" s="698"/>
      <c r="K26" s="699"/>
      <c r="N26" s="71" t="s">
        <v>74</v>
      </c>
      <c r="O26" s="565">
        <v>2</v>
      </c>
      <c r="P26" s="43" t="s">
        <v>468</v>
      </c>
      <c r="Q26" s="71" t="s">
        <v>74</v>
      </c>
      <c r="R26" s="565">
        <v>2</v>
      </c>
      <c r="S26" s="86" t="s">
        <v>468</v>
      </c>
      <c r="U26" s="80" t="s">
        <v>167</v>
      </c>
      <c r="V26" s="24">
        <f>X35*V35</f>
        <v>240</v>
      </c>
      <c r="W26" s="80" t="s">
        <v>168</v>
      </c>
      <c r="X26" s="24">
        <f>X36+X35/2</f>
        <v>90</v>
      </c>
      <c r="Y26" s="80" t="s">
        <v>169</v>
      </c>
      <c r="Z26" s="24">
        <f>V35+X34+V35/2</f>
        <v>59</v>
      </c>
    </row>
    <row r="27" spans="2:26" ht="15.95" customHeight="1" x14ac:dyDescent="0.15">
      <c r="B27" s="91"/>
      <c r="G27" s="698"/>
      <c r="H27" s="698"/>
      <c r="I27" s="698"/>
      <c r="J27" s="698"/>
      <c r="K27" s="699"/>
      <c r="N27" s="71" t="s">
        <v>466</v>
      </c>
      <c r="O27" s="565">
        <v>2</v>
      </c>
      <c r="P27" s="43" t="s">
        <v>468</v>
      </c>
      <c r="Q27" s="71" t="s">
        <v>75</v>
      </c>
      <c r="R27" s="567">
        <v>2</v>
      </c>
      <c r="S27" s="86" t="s">
        <v>468</v>
      </c>
      <c r="U27" s="80"/>
      <c r="V27" s="24"/>
      <c r="W27" s="80"/>
      <c r="X27" s="24"/>
      <c r="Y27" s="80"/>
      <c r="Z27" s="24"/>
    </row>
    <row r="28" spans="2:26" ht="15.95" customHeight="1" thickBot="1" x14ac:dyDescent="0.2">
      <c r="B28" s="91"/>
      <c r="G28" s="698"/>
      <c r="H28" s="698"/>
      <c r="I28" s="698"/>
      <c r="J28" s="698"/>
      <c r="K28" s="699"/>
      <c r="N28" s="71" t="s">
        <v>192</v>
      </c>
      <c r="O28" s="565">
        <v>2</v>
      </c>
      <c r="P28" s="43" t="s">
        <v>468</v>
      </c>
      <c r="Q28" s="91"/>
      <c r="R28" s="566"/>
      <c r="S28" s="110"/>
      <c r="U28" s="80" t="s">
        <v>170</v>
      </c>
      <c r="V28" s="24">
        <f>X22-Z30</f>
        <v>-69.109947643979055</v>
      </c>
      <c r="W28" s="80" t="s">
        <v>171</v>
      </c>
      <c r="X28" s="24">
        <f>Z22-Z31</f>
        <v>0</v>
      </c>
      <c r="Y28" s="80" t="s">
        <v>172</v>
      </c>
      <c r="Z28" s="24">
        <f>V22*X22+V23*X23+V24*X24+V25*X25+V26*X26</f>
        <v>64260</v>
      </c>
    </row>
    <row r="29" spans="2:26" ht="15.95" customHeight="1" x14ac:dyDescent="0.15">
      <c r="B29" s="91"/>
      <c r="G29" s="698"/>
      <c r="H29" s="698"/>
      <c r="I29" s="698"/>
      <c r="J29" s="698"/>
      <c r="K29" s="699"/>
      <c r="N29" s="84" t="s">
        <v>196</v>
      </c>
      <c r="O29" s="151">
        <f>O24+O25</f>
        <v>150</v>
      </c>
      <c r="P29" s="85" t="s">
        <v>458</v>
      </c>
      <c r="Q29" s="91"/>
      <c r="R29" s="566"/>
      <c r="S29" s="110"/>
      <c r="U29" s="80" t="s">
        <v>174</v>
      </c>
      <c r="V29" s="24">
        <f>X23-Z30</f>
        <v>-53.109947643979055</v>
      </c>
      <c r="W29" s="80" t="s">
        <v>175</v>
      </c>
      <c r="X29" s="24">
        <f>Z23-Z31</f>
        <v>0</v>
      </c>
      <c r="Y29" s="80" t="s">
        <v>176</v>
      </c>
      <c r="Z29" s="24">
        <f>V22*Z22+V23*Z23+V24*Z24+V25*Z25+V26*Z26</f>
        <v>22920</v>
      </c>
    </row>
    <row r="30" spans="2:26" ht="15.95" customHeight="1" x14ac:dyDescent="0.15">
      <c r="B30" s="91"/>
      <c r="G30" s="698"/>
      <c r="H30" s="698"/>
      <c r="I30" s="698"/>
      <c r="J30" s="698"/>
      <c r="K30" s="699"/>
      <c r="N30" s="71" t="s">
        <v>77</v>
      </c>
      <c r="O30" s="23">
        <f>O23-2*O27</f>
        <v>56</v>
      </c>
      <c r="P30" s="43" t="s">
        <v>458</v>
      </c>
      <c r="Q30" s="91"/>
      <c r="R30" s="566"/>
      <c r="S30" s="110"/>
      <c r="U30" s="80" t="s">
        <v>177</v>
      </c>
      <c r="V30" s="24">
        <f>X24-Z30</f>
        <v>64.890052356020945</v>
      </c>
      <c r="W30" s="80" t="s">
        <v>178</v>
      </c>
      <c r="X30" s="24">
        <f>Z24-Z31</f>
        <v>0</v>
      </c>
      <c r="Y30" s="80" t="s">
        <v>179</v>
      </c>
      <c r="Z30" s="24">
        <f>Z28/(V22+V23+V24+V25+V26)</f>
        <v>84.109947643979055</v>
      </c>
    </row>
    <row r="31" spans="2:26" ht="15.95" customHeight="1" x14ac:dyDescent="0.15">
      <c r="B31" s="91"/>
      <c r="G31" s="698"/>
      <c r="H31" s="698"/>
      <c r="I31" s="698"/>
      <c r="J31" s="698"/>
      <c r="K31" s="699"/>
      <c r="N31" s="71" t="s">
        <v>193</v>
      </c>
      <c r="O31" s="23">
        <f>Z32</f>
        <v>1671313.4310645724</v>
      </c>
      <c r="P31" s="43" t="s">
        <v>469</v>
      </c>
      <c r="Q31" s="71" t="s">
        <v>193</v>
      </c>
      <c r="R31" s="565">
        <v>1671313.43</v>
      </c>
      <c r="S31" s="86" t="s">
        <v>469</v>
      </c>
      <c r="U31" s="80" t="s">
        <v>180</v>
      </c>
      <c r="V31" s="24">
        <f>X25-Z30</f>
        <v>5.890052356020945</v>
      </c>
      <c r="W31" s="80" t="s">
        <v>181</v>
      </c>
      <c r="X31" s="24">
        <f>Z25-Z31</f>
        <v>-29</v>
      </c>
      <c r="Y31" s="80" t="s">
        <v>182</v>
      </c>
      <c r="Z31" s="24">
        <f>Z29/(V22+V23+V24+V25+V26)</f>
        <v>30</v>
      </c>
    </row>
    <row r="32" spans="2:26" ht="15.95" customHeight="1" x14ac:dyDescent="0.15">
      <c r="B32" s="91"/>
      <c r="G32" s="698"/>
      <c r="H32" s="698"/>
      <c r="I32" s="698"/>
      <c r="J32" s="698"/>
      <c r="K32" s="699"/>
      <c r="N32" s="71" t="s">
        <v>194</v>
      </c>
      <c r="O32" s="23">
        <f>Z33</f>
        <v>462398.66666666663</v>
      </c>
      <c r="P32" s="43" t="s">
        <v>469</v>
      </c>
      <c r="Q32" s="71" t="s">
        <v>194</v>
      </c>
      <c r="R32" s="565">
        <v>462398.67</v>
      </c>
      <c r="S32" s="86" t="s">
        <v>469</v>
      </c>
      <c r="U32" s="80" t="s">
        <v>183</v>
      </c>
      <c r="V32" s="24">
        <f>X26-Z30</f>
        <v>5.890052356020945</v>
      </c>
      <c r="W32" s="80" t="s">
        <v>184</v>
      </c>
      <c r="X32" s="24">
        <f>Z26-Z31</f>
        <v>29</v>
      </c>
      <c r="Y32" s="80" t="s">
        <v>185</v>
      </c>
      <c r="Z32" s="24">
        <f>((V36*X36*X36*X36)/12+V22*V28*V28)+((X34*V34*V34*V34)/12+V23*V29*V29)+((X34*V34*V34*V34)/12+V24*V30*V30)+((V35*X35*X35*X35)/12+V25*V31*V31)+((V35*X35*X35*X35)/12+V26*V32*V32)</f>
        <v>1671313.4310645724</v>
      </c>
    </row>
    <row r="33" spans="1:26" ht="15.95" customHeight="1" x14ac:dyDescent="0.15">
      <c r="B33" s="91"/>
      <c r="G33" s="698"/>
      <c r="H33" s="698"/>
      <c r="I33" s="698"/>
      <c r="J33" s="698"/>
      <c r="K33" s="699"/>
      <c r="N33" s="71" t="s">
        <v>890</v>
      </c>
      <c r="O33" s="23">
        <f>Z31</f>
        <v>30</v>
      </c>
      <c r="P33" s="43" t="s">
        <v>458</v>
      </c>
      <c r="Q33" s="71" t="s">
        <v>890</v>
      </c>
      <c r="R33" s="565">
        <v>30</v>
      </c>
      <c r="S33" s="86" t="s">
        <v>468</v>
      </c>
      <c r="U33" s="38"/>
      <c r="V33" s="24"/>
      <c r="W33" s="38"/>
      <c r="X33" s="24"/>
      <c r="Y33" s="80" t="s">
        <v>186</v>
      </c>
      <c r="Z33" s="24">
        <f>((X36*V36*V36*V36)/12+V22*X28*X28)+((V34*X34*X34*X34)/12+V23*X29*X29)+((V34*X34*X34*X34)/12+V24*X30*X30)+((X35*V35*V35*V35)/12+V25*X31*X31)+((X35*V35*V35*V35)/12+V26*X32*X32)</f>
        <v>462398.66666666663</v>
      </c>
    </row>
    <row r="34" spans="1:26" ht="15.95" customHeight="1" x14ac:dyDescent="0.15">
      <c r="B34" s="71" t="s">
        <v>196</v>
      </c>
      <c r="C34" s="20" t="s">
        <v>4</v>
      </c>
      <c r="D34" s="171">
        <f>IF($J$20=1, O29,Q20)</f>
        <v>150</v>
      </c>
      <c r="E34" s="43" t="s">
        <v>468</v>
      </c>
      <c r="F34" s="89"/>
      <c r="G34" s="698"/>
      <c r="H34" s="698"/>
      <c r="I34" s="698"/>
      <c r="J34" s="698"/>
      <c r="K34" s="699"/>
      <c r="N34" s="71" t="s">
        <v>891</v>
      </c>
      <c r="O34" s="23">
        <f>Z30</f>
        <v>84.109947643979055</v>
      </c>
      <c r="P34" s="43" t="s">
        <v>458</v>
      </c>
      <c r="Q34" s="71" t="s">
        <v>891</v>
      </c>
      <c r="R34" s="565">
        <v>84.11</v>
      </c>
      <c r="S34" s="86" t="s">
        <v>468</v>
      </c>
      <c r="U34" s="80" t="s">
        <v>462</v>
      </c>
      <c r="V34" s="24">
        <f>O26</f>
        <v>2</v>
      </c>
      <c r="W34" s="80" t="s">
        <v>77</v>
      </c>
      <c r="X34" s="24">
        <f>O30</f>
        <v>56</v>
      </c>
      <c r="Y34" s="38"/>
      <c r="Z34" s="24"/>
    </row>
    <row r="35" spans="1:26" ht="15.95" customHeight="1" x14ac:dyDescent="0.15">
      <c r="B35" s="71" t="s">
        <v>46</v>
      </c>
      <c r="C35" s="20" t="s">
        <v>4</v>
      </c>
      <c r="D35" s="171">
        <f>IF($J$20=1, O23,Q20)</f>
        <v>60</v>
      </c>
      <c r="E35" s="43" t="s">
        <v>468</v>
      </c>
      <c r="G35" s="698"/>
      <c r="H35" s="698"/>
      <c r="I35" s="698"/>
      <c r="J35" s="698"/>
      <c r="K35" s="699"/>
      <c r="N35" s="71" t="s">
        <v>996</v>
      </c>
      <c r="O35" s="23">
        <f>O32/O33</f>
        <v>15413.288888888888</v>
      </c>
      <c r="P35" s="43" t="s">
        <v>470</v>
      </c>
      <c r="Q35" s="71" t="s">
        <v>996</v>
      </c>
      <c r="R35" s="23">
        <f>R32/R33</f>
        <v>15413.288999999999</v>
      </c>
      <c r="S35" s="86" t="s">
        <v>470</v>
      </c>
      <c r="U35" s="80" t="s">
        <v>461</v>
      </c>
      <c r="V35" s="24">
        <f>O27</f>
        <v>2</v>
      </c>
      <c r="W35" s="80" t="s">
        <v>463</v>
      </c>
      <c r="X35" s="24">
        <f>O24</f>
        <v>120</v>
      </c>
      <c r="Y35" s="38"/>
      <c r="Z35" s="24"/>
    </row>
    <row r="36" spans="1:26" ht="15.95" customHeight="1" thickBot="1" x14ac:dyDescent="0.2">
      <c r="B36" s="71" t="s">
        <v>199</v>
      </c>
      <c r="C36" s="20" t="s">
        <v>4</v>
      </c>
      <c r="D36" s="171">
        <f>IF($J$20=1, O24,Q20)</f>
        <v>120</v>
      </c>
      <c r="E36" s="43" t="s">
        <v>468</v>
      </c>
      <c r="F36" s="89"/>
      <c r="G36" s="698"/>
      <c r="H36" s="698"/>
      <c r="I36" s="698"/>
      <c r="J36" s="698"/>
      <c r="K36" s="699"/>
      <c r="N36" s="87" t="s">
        <v>349</v>
      </c>
      <c r="O36" s="152">
        <f>(2*O27*O26*(O23-O27)^2*(O24-O26)^2)/((O23*O27)+(O24*O26)-O27^2-O26^2)</f>
        <v>1064553.0909090908</v>
      </c>
      <c r="P36" s="153" t="s">
        <v>470</v>
      </c>
      <c r="Q36" s="87" t="s">
        <v>304</v>
      </c>
      <c r="R36" s="152">
        <f>(2*R27*R26*(R23-R27)^2*(R24-R26)^2)/((R23*R27)+(R24*R26)-R27^2-R26^2)</f>
        <v>1064553.0909090908</v>
      </c>
      <c r="S36" s="88" t="s">
        <v>471</v>
      </c>
      <c r="U36" s="80" t="s">
        <v>467</v>
      </c>
      <c r="V36" s="24">
        <f>O28</f>
        <v>2</v>
      </c>
      <c r="W36" s="80" t="s">
        <v>464</v>
      </c>
      <c r="X36" s="24">
        <f>O25</f>
        <v>30</v>
      </c>
      <c r="Y36" s="38"/>
      <c r="Z36" s="24"/>
    </row>
    <row r="37" spans="1:26" ht="15.95" customHeight="1" x14ac:dyDescent="0.15">
      <c r="B37" s="71" t="s">
        <v>518</v>
      </c>
      <c r="C37" s="20" t="s">
        <v>4</v>
      </c>
      <c r="D37" s="171">
        <f>IF($J$20=1, O25,Q20)</f>
        <v>30</v>
      </c>
      <c r="E37" s="43" t="s">
        <v>468</v>
      </c>
      <c r="F37" s="89"/>
      <c r="G37" s="698"/>
      <c r="H37" s="698"/>
      <c r="I37" s="698"/>
      <c r="J37" s="698"/>
      <c r="K37" s="699"/>
    </row>
    <row r="38" spans="1:26" ht="15.95" customHeight="1" x14ac:dyDescent="0.15">
      <c r="B38" s="71" t="s">
        <v>74</v>
      </c>
      <c r="C38" s="20" t="s">
        <v>4</v>
      </c>
      <c r="D38" s="171">
        <f>IF($J$20=1, O26,Q20)</f>
        <v>2</v>
      </c>
      <c r="E38" s="43" t="s">
        <v>468</v>
      </c>
      <c r="F38" s="89"/>
      <c r="G38" s="698"/>
      <c r="H38" s="698"/>
      <c r="I38" s="698"/>
      <c r="J38" s="698"/>
      <c r="K38" s="699"/>
      <c r="N38" s="24" t="s">
        <v>205</v>
      </c>
    </row>
    <row r="39" spans="1:26" ht="15.95" customHeight="1" thickBot="1" x14ac:dyDescent="0.2">
      <c r="B39" s="71" t="s">
        <v>466</v>
      </c>
      <c r="C39" s="20" t="s">
        <v>4</v>
      </c>
      <c r="D39" s="171">
        <f>IF($J$20=1, O27,Q20)</f>
        <v>2</v>
      </c>
      <c r="E39" s="43" t="s">
        <v>468</v>
      </c>
      <c r="G39" s="698"/>
      <c r="H39" s="698"/>
      <c r="I39" s="698"/>
      <c r="J39" s="698"/>
      <c r="K39" s="699"/>
      <c r="L39" s="81"/>
      <c r="M39" s="81"/>
      <c r="N39" s="24" t="s">
        <v>460</v>
      </c>
      <c r="S39" s="69"/>
      <c r="T39" s="70"/>
    </row>
    <row r="40" spans="1:26" ht="15.95" customHeight="1" x14ac:dyDescent="0.15">
      <c r="B40" s="71" t="s">
        <v>192</v>
      </c>
      <c r="C40" s="20" t="s">
        <v>4</v>
      </c>
      <c r="D40" s="171">
        <f>IF($J$20=1, O28,Q20)</f>
        <v>2</v>
      </c>
      <c r="E40" s="43" t="s">
        <v>468</v>
      </c>
      <c r="F40" s="89"/>
      <c r="G40" s="698"/>
      <c r="H40" s="698"/>
      <c r="I40" s="698"/>
      <c r="J40" s="698"/>
      <c r="K40" s="699"/>
      <c r="L40" s="81"/>
      <c r="M40" s="81"/>
      <c r="N40" s="84" t="s">
        <v>193</v>
      </c>
      <c r="O40" s="151">
        <f>IF($J$20=1, O31,R31)</f>
        <v>1671313.4310645724</v>
      </c>
      <c r="P40" s="85" t="s">
        <v>469</v>
      </c>
      <c r="Q40" s="72" t="s">
        <v>350</v>
      </c>
      <c r="R40" s="151">
        <f>IF($J$20=1, O30,R23-R27*2)</f>
        <v>56</v>
      </c>
      <c r="S40" s="85" t="s">
        <v>468</v>
      </c>
      <c r="T40" s="44"/>
      <c r="U40" s="44"/>
    </row>
    <row r="41" spans="1:26" ht="15.95" customHeight="1" x14ac:dyDescent="0.15">
      <c r="B41" s="71" t="s">
        <v>361</v>
      </c>
      <c r="C41" s="20" t="s">
        <v>4</v>
      </c>
      <c r="D41" s="167">
        <f>O40</f>
        <v>1671313.4310645724</v>
      </c>
      <c r="E41" s="43" t="s">
        <v>469</v>
      </c>
      <c r="F41" s="89"/>
      <c r="G41" s="698"/>
      <c r="H41" s="698"/>
      <c r="I41" s="698"/>
      <c r="J41" s="698"/>
      <c r="K41" s="699"/>
      <c r="L41" s="81"/>
      <c r="M41" s="81"/>
      <c r="N41" s="71" t="s">
        <v>194</v>
      </c>
      <c r="O41" s="23">
        <f t="shared" ref="O41:O45" si="0">IF($J$20=1, O32,R32)</f>
        <v>462398.66666666663</v>
      </c>
      <c r="P41" s="43" t="s">
        <v>469</v>
      </c>
      <c r="Q41" s="73" t="s">
        <v>351</v>
      </c>
      <c r="R41" s="23">
        <f>IF($J$20=1, O24-2*O26,R24-R26*2)</f>
        <v>116</v>
      </c>
      <c r="S41" s="86" t="s">
        <v>468</v>
      </c>
      <c r="U41" s="44"/>
    </row>
    <row r="42" spans="1:26" ht="15.95" customHeight="1" x14ac:dyDescent="0.15">
      <c r="B42" s="71" t="s">
        <v>362</v>
      </c>
      <c r="C42" s="20" t="s">
        <v>4</v>
      </c>
      <c r="D42" s="167">
        <f>O41</f>
        <v>462398.66666666663</v>
      </c>
      <c r="E42" s="43" t="s">
        <v>469</v>
      </c>
      <c r="F42" s="89"/>
      <c r="G42" s="698"/>
      <c r="H42" s="698"/>
      <c r="I42" s="698"/>
      <c r="J42" s="698"/>
      <c r="K42" s="699"/>
      <c r="L42" s="81"/>
      <c r="M42" s="81"/>
      <c r="N42" s="71" t="s">
        <v>890</v>
      </c>
      <c r="O42" s="23">
        <f t="shared" si="0"/>
        <v>30</v>
      </c>
      <c r="P42" s="43" t="s">
        <v>458</v>
      </c>
      <c r="Q42" s="73" t="s">
        <v>352</v>
      </c>
      <c r="R42" s="23">
        <f>IF($J$20=1, O26,R26)</f>
        <v>2</v>
      </c>
      <c r="S42" s="86" t="s">
        <v>468</v>
      </c>
      <c r="T42" s="90"/>
      <c r="U42" s="44"/>
    </row>
    <row r="43" spans="1:26" ht="15.95" customHeight="1" x14ac:dyDescent="0.15">
      <c r="B43" s="71" t="s">
        <v>890</v>
      </c>
      <c r="C43" s="20" t="s">
        <v>4</v>
      </c>
      <c r="D43" s="173">
        <f>O42</f>
        <v>30</v>
      </c>
      <c r="E43" s="43" t="s">
        <v>458</v>
      </c>
      <c r="F43" s="89"/>
      <c r="G43" s="698"/>
      <c r="H43" s="698"/>
      <c r="I43" s="698"/>
      <c r="J43" s="698"/>
      <c r="K43" s="699"/>
      <c r="L43" s="81"/>
      <c r="M43" s="81"/>
      <c r="N43" s="71" t="s">
        <v>891</v>
      </c>
      <c r="O43" s="23">
        <f t="shared" si="0"/>
        <v>84.109947643979055</v>
      </c>
      <c r="P43" s="43" t="s">
        <v>458</v>
      </c>
      <c r="Q43" s="73" t="s">
        <v>353</v>
      </c>
      <c r="R43" s="158">
        <f>IF($J$20=1, O27,R27)</f>
        <v>2</v>
      </c>
      <c r="S43" s="86" t="s">
        <v>468</v>
      </c>
      <c r="T43" s="90"/>
      <c r="U43" s="44"/>
    </row>
    <row r="44" spans="1:26" ht="15.95" customHeight="1" x14ac:dyDescent="0.15">
      <c r="B44" s="71" t="s">
        <v>996</v>
      </c>
      <c r="C44" s="20" t="s">
        <v>4</v>
      </c>
      <c r="D44" s="167">
        <f>O44</f>
        <v>15413.288888888888</v>
      </c>
      <c r="E44" s="43" t="s">
        <v>470</v>
      </c>
      <c r="F44" s="89"/>
      <c r="G44" s="698"/>
      <c r="H44" s="698"/>
      <c r="I44" s="698"/>
      <c r="J44" s="698"/>
      <c r="K44" s="699"/>
      <c r="L44" s="81"/>
      <c r="M44" s="81"/>
      <c r="N44" s="71" t="s">
        <v>996</v>
      </c>
      <c r="O44" s="23">
        <f t="shared" si="0"/>
        <v>15413.288888888888</v>
      </c>
      <c r="P44" s="43" t="s">
        <v>470</v>
      </c>
      <c r="Q44" s="91"/>
      <c r="R44" s="81"/>
      <c r="S44" s="92"/>
      <c r="T44" s="90"/>
      <c r="U44" s="44"/>
    </row>
    <row r="45" spans="1:26" ht="15.95" customHeight="1" thickBot="1" x14ac:dyDescent="0.2">
      <c r="B45" s="87" t="s">
        <v>349</v>
      </c>
      <c r="C45" s="33" t="s">
        <v>4</v>
      </c>
      <c r="D45" s="168">
        <f t="shared" ref="D45" si="1">O45</f>
        <v>1064553.0909090908</v>
      </c>
      <c r="E45" s="153" t="s">
        <v>470</v>
      </c>
      <c r="F45" s="163"/>
      <c r="G45" s="700"/>
      <c r="H45" s="700"/>
      <c r="I45" s="700"/>
      <c r="J45" s="700"/>
      <c r="K45" s="701"/>
      <c r="L45" s="81"/>
      <c r="M45" s="81"/>
      <c r="N45" s="87" t="s">
        <v>349</v>
      </c>
      <c r="O45" s="152">
        <f t="shared" si="0"/>
        <v>1064553.0909090908</v>
      </c>
      <c r="P45" s="153" t="s">
        <v>470</v>
      </c>
      <c r="Q45" s="94"/>
      <c r="R45" s="93"/>
      <c r="S45" s="95"/>
      <c r="T45" s="90"/>
      <c r="U45" s="44"/>
    </row>
    <row r="46" spans="1:26" ht="15.95" customHeight="1" x14ac:dyDescent="0.15">
      <c r="B46" s="708" t="s">
        <v>1000</v>
      </c>
      <c r="C46" s="708"/>
      <c r="D46" s="708"/>
      <c r="E46" s="708"/>
      <c r="F46" s="708"/>
      <c r="G46" s="708"/>
      <c r="H46" s="708"/>
      <c r="I46" s="708"/>
      <c r="J46" s="708"/>
      <c r="K46" s="708"/>
      <c r="L46" s="81"/>
      <c r="M46" s="81"/>
    </row>
    <row r="47" spans="1:26" s="12" customFormat="1" ht="15.95" hidden="1" customHeight="1" x14ac:dyDescent="0.15">
      <c r="A47" s="129"/>
      <c r="B47" s="129" t="s">
        <v>384</v>
      </c>
    </row>
    <row r="48" spans="1:26" s="12" customFormat="1" ht="15.95" hidden="1" customHeight="1" x14ac:dyDescent="0.15"/>
    <row r="49" spans="1:9" s="12" customFormat="1" ht="15.95" hidden="1" customHeight="1" x14ac:dyDescent="0.15">
      <c r="B49" s="130"/>
    </row>
    <row r="50" spans="1:9" s="12" customFormat="1" ht="15.95" hidden="1" customHeight="1" x14ac:dyDescent="0.15">
      <c r="A50" s="131"/>
    </row>
    <row r="51" spans="1:9" s="12" customFormat="1" ht="15.95" hidden="1" customHeight="1" x14ac:dyDescent="0.15">
      <c r="A51" s="131"/>
    </row>
    <row r="52" spans="1:9" s="12" customFormat="1" ht="15.95" hidden="1" customHeight="1" x14ac:dyDescent="0.15">
      <c r="A52" s="131"/>
    </row>
    <row r="53" spans="1:9" s="12" customFormat="1" ht="15.95" hidden="1" customHeight="1" x14ac:dyDescent="0.15">
      <c r="A53" s="131"/>
    </row>
    <row r="54" spans="1:9" s="12" customFormat="1" ht="15.95" hidden="1" customHeight="1" x14ac:dyDescent="0.15">
      <c r="A54" s="131"/>
      <c r="G54" s="36"/>
    </row>
    <row r="55" spans="1:9" s="12" customFormat="1" ht="15.95" hidden="1" customHeight="1" x14ac:dyDescent="0.15">
      <c r="A55" s="131"/>
      <c r="G55" s="98"/>
    </row>
    <row r="56" spans="1:9" s="12" customFormat="1" ht="15.95" hidden="1" customHeight="1" x14ac:dyDescent="0.15">
      <c r="A56" s="131"/>
      <c r="G56" s="36"/>
    </row>
    <row r="57" spans="1:9" s="12" customFormat="1" ht="15.95" hidden="1" customHeight="1" x14ac:dyDescent="0.15">
      <c r="A57" s="131"/>
      <c r="G57" s="36"/>
    </row>
    <row r="58" spans="1:9" s="12" customFormat="1" ht="15.95" hidden="1" customHeight="1" x14ac:dyDescent="0.15">
      <c r="A58" s="131"/>
      <c r="G58" s="36"/>
      <c r="I58" s="131"/>
    </row>
    <row r="59" spans="1:9" s="12" customFormat="1" ht="15.95" hidden="1" customHeight="1" x14ac:dyDescent="0.15">
      <c r="B59" s="24" t="s">
        <v>91</v>
      </c>
      <c r="G59" s="36"/>
    </row>
    <row r="60" spans="1:9" s="12" customFormat="1" ht="15.95" hidden="1" customHeight="1" x14ac:dyDescent="0.15">
      <c r="G60" s="78"/>
    </row>
    <row r="61" spans="1:9" s="12" customFormat="1" ht="15.95" hidden="1" customHeight="1" x14ac:dyDescent="0.15">
      <c r="B61" s="36" t="s">
        <v>85</v>
      </c>
      <c r="C61" s="20" t="s">
        <v>4</v>
      </c>
      <c r="D61" s="36" t="s">
        <v>86</v>
      </c>
      <c r="E61" s="20" t="s">
        <v>4</v>
      </c>
      <c r="F61" s="36" t="s">
        <v>388</v>
      </c>
      <c r="G61" s="20" t="s">
        <v>9</v>
      </c>
      <c r="H61" s="36" t="s">
        <v>101</v>
      </c>
      <c r="I61" s="36"/>
    </row>
    <row r="62" spans="1:9" s="12" customFormat="1" ht="15.95" hidden="1" customHeight="1" x14ac:dyDescent="0.15">
      <c r="B62" s="36" t="s">
        <v>385</v>
      </c>
      <c r="C62" s="20" t="s">
        <v>4</v>
      </c>
      <c r="D62" s="36" t="s">
        <v>389</v>
      </c>
      <c r="E62" s="20" t="s">
        <v>4</v>
      </c>
      <c r="F62" s="36" t="s">
        <v>388</v>
      </c>
      <c r="G62" s="20" t="s">
        <v>9</v>
      </c>
      <c r="H62" s="36" t="s">
        <v>386</v>
      </c>
      <c r="I62" s="36"/>
    </row>
    <row r="63" spans="1:9" s="12" customFormat="1" ht="15.95" hidden="1" customHeight="1" x14ac:dyDescent="0.15">
      <c r="B63" s="36" t="s">
        <v>65</v>
      </c>
      <c r="C63" s="20" t="s">
        <v>4</v>
      </c>
      <c r="D63" s="36" t="s">
        <v>387</v>
      </c>
      <c r="E63" s="36"/>
      <c r="G63" s="20" t="s">
        <v>9</v>
      </c>
      <c r="H63" s="36" t="s">
        <v>102</v>
      </c>
      <c r="I63" s="36"/>
    </row>
    <row r="64" spans="1:9" s="12" customFormat="1" ht="15.95" hidden="1" customHeight="1" x14ac:dyDescent="0.15">
      <c r="B64" s="78" t="s">
        <v>120</v>
      </c>
      <c r="C64" s="20" t="s">
        <v>4</v>
      </c>
      <c r="D64" s="36" t="s">
        <v>390</v>
      </c>
      <c r="E64" s="36"/>
      <c r="G64" s="20" t="s">
        <v>9</v>
      </c>
      <c r="H64" s="36" t="s">
        <v>103</v>
      </c>
      <c r="I64" s="36"/>
    </row>
    <row r="65" spans="1:13" s="12" customFormat="1" ht="15.95" hidden="1" customHeight="1" x14ac:dyDescent="0.15">
      <c r="H65" s="20"/>
      <c r="I65" s="36"/>
    </row>
    <row r="66" spans="1:13" s="12" customFormat="1" ht="15.95" hidden="1" customHeight="1" x14ac:dyDescent="0.15"/>
    <row r="67" spans="1:13" s="12" customFormat="1" ht="15.95" hidden="1" customHeight="1" x14ac:dyDescent="0.15">
      <c r="A67" s="131"/>
      <c r="B67" s="24" t="s">
        <v>92</v>
      </c>
    </row>
    <row r="68" spans="1:13" s="12" customFormat="1" ht="15.95" hidden="1" customHeight="1" x14ac:dyDescent="0.15"/>
    <row r="69" spans="1:13" s="12" customFormat="1" ht="15.95" hidden="1" customHeight="1" x14ac:dyDescent="0.15">
      <c r="B69" s="136" t="s">
        <v>2</v>
      </c>
      <c r="C69" s="27" t="s">
        <v>4</v>
      </c>
      <c r="D69" s="167">
        <f>D9</f>
        <v>5000</v>
      </c>
      <c r="E69" s="12" t="s">
        <v>458</v>
      </c>
      <c r="G69" s="20" t="s">
        <v>9</v>
      </c>
      <c r="H69" s="36" t="s">
        <v>404</v>
      </c>
      <c r="J69" s="36"/>
      <c r="K69" s="36"/>
    </row>
    <row r="70" spans="1:13" s="12" customFormat="1" ht="15.95" hidden="1" customHeight="1" x14ac:dyDescent="0.15">
      <c r="B70" s="137" t="s">
        <v>3</v>
      </c>
      <c r="C70" s="27" t="s">
        <v>4</v>
      </c>
      <c r="D70" s="167">
        <f>(D7+D8)/2</f>
        <v>1200</v>
      </c>
      <c r="E70" s="12" t="s">
        <v>458</v>
      </c>
      <c r="G70" s="20" t="s">
        <v>9</v>
      </c>
      <c r="H70" s="36" t="s">
        <v>391</v>
      </c>
      <c r="J70" s="20"/>
      <c r="K70" s="36"/>
    </row>
    <row r="71" spans="1:13" s="12" customFormat="1" ht="15.95" hidden="1" customHeight="1" x14ac:dyDescent="0.15">
      <c r="B71" s="137" t="s">
        <v>11</v>
      </c>
      <c r="C71" s="27" t="s">
        <v>4</v>
      </c>
      <c r="D71" s="24">
        <f>ABS(D5*D70/10^3)</f>
        <v>0.18381440000000004</v>
      </c>
      <c r="E71" s="24" t="s">
        <v>477</v>
      </c>
      <c r="F71" s="130"/>
      <c r="G71" s="20" t="s">
        <v>9</v>
      </c>
      <c r="H71" s="36" t="s">
        <v>382</v>
      </c>
      <c r="J71" s="20"/>
      <c r="K71" s="36"/>
    </row>
    <row r="72" spans="1:13" s="12" customFormat="1" ht="15.95" hidden="1" customHeight="1" x14ac:dyDescent="0.15">
      <c r="B72" s="137" t="s">
        <v>5</v>
      </c>
      <c r="C72" s="27" t="s">
        <v>4</v>
      </c>
      <c r="D72" s="167">
        <f>D6</f>
        <v>69637.021649999995</v>
      </c>
      <c r="E72" s="43" t="s">
        <v>457</v>
      </c>
      <c r="G72" s="20" t="s">
        <v>9</v>
      </c>
      <c r="H72" s="36" t="s">
        <v>95</v>
      </c>
      <c r="J72" s="20"/>
      <c r="K72" s="36"/>
    </row>
    <row r="73" spans="1:13" s="12" customFormat="1" ht="15.95" hidden="1" customHeight="1" x14ac:dyDescent="0.15">
      <c r="B73" s="137" t="s">
        <v>998</v>
      </c>
      <c r="C73" s="27" t="s">
        <v>4</v>
      </c>
      <c r="D73" s="167">
        <f>D42</f>
        <v>462398.66666666663</v>
      </c>
      <c r="E73" s="12" t="s">
        <v>475</v>
      </c>
      <c r="G73" s="20" t="s">
        <v>9</v>
      </c>
      <c r="H73" s="36" t="s">
        <v>96</v>
      </c>
      <c r="J73" s="20"/>
      <c r="K73" s="36"/>
    </row>
    <row r="74" spans="1:13" s="12" customFormat="1" ht="15.95" hidden="1" customHeight="1" x14ac:dyDescent="0.15">
      <c r="J74" s="20"/>
      <c r="K74" s="36"/>
    </row>
    <row r="75" spans="1:13" s="12" customFormat="1" ht="15.95" hidden="1" customHeight="1" x14ac:dyDescent="0.15">
      <c r="A75" s="25"/>
      <c r="B75" s="24" t="s">
        <v>104</v>
      </c>
      <c r="J75" s="20"/>
      <c r="K75" s="36"/>
    </row>
    <row r="76" spans="1:13" s="12" customFormat="1" ht="15.95" hidden="1" customHeight="1" x14ac:dyDescent="0.15">
      <c r="J76" s="20"/>
      <c r="K76" s="36"/>
      <c r="L76" s="133"/>
      <c r="M76" s="131"/>
    </row>
    <row r="77" spans="1:13" s="12" customFormat="1" ht="15.95" hidden="1" customHeight="1" x14ac:dyDescent="0.15">
      <c r="A77" s="12" t="s">
        <v>1</v>
      </c>
      <c r="B77" s="36" t="s">
        <v>85</v>
      </c>
      <c r="C77" s="27" t="s">
        <v>4</v>
      </c>
      <c r="D77" s="36" t="s">
        <v>388</v>
      </c>
      <c r="G77" s="36"/>
      <c r="K77" s="36"/>
    </row>
    <row r="78" spans="1:13" s="12" customFormat="1" ht="15.95" hidden="1" customHeight="1" x14ac:dyDescent="0.15">
      <c r="B78" s="130"/>
      <c r="C78" s="27" t="s">
        <v>4</v>
      </c>
      <c r="D78" s="172">
        <f>D71*D69/2</f>
        <v>459.53600000000012</v>
      </c>
      <c r="E78" s="24" t="s">
        <v>476</v>
      </c>
      <c r="G78" s="36"/>
      <c r="K78" s="36"/>
    </row>
    <row r="79" spans="1:13" s="12" customFormat="1" ht="15.95" hidden="1" customHeight="1" x14ac:dyDescent="0.15">
      <c r="B79" s="131"/>
      <c r="C79" s="134"/>
      <c r="D79" s="132"/>
      <c r="G79" s="36"/>
      <c r="K79" s="36"/>
    </row>
    <row r="80" spans="1:13" s="12" customFormat="1" ht="15.95" hidden="1" customHeight="1" x14ac:dyDescent="0.15">
      <c r="B80" s="36" t="s">
        <v>385</v>
      </c>
      <c r="C80" s="27" t="s">
        <v>4</v>
      </c>
      <c r="D80" s="36" t="s">
        <v>388</v>
      </c>
      <c r="G80" s="78"/>
      <c r="K80" s="36"/>
    </row>
    <row r="81" spans="1:26" s="12" customFormat="1" ht="15.95" hidden="1" customHeight="1" x14ac:dyDescent="0.15">
      <c r="B81" s="135"/>
      <c r="C81" s="27" t="s">
        <v>4</v>
      </c>
      <c r="D81" s="172">
        <f>D71*D69/2</f>
        <v>459.53600000000012</v>
      </c>
      <c r="E81" s="24" t="s">
        <v>476</v>
      </c>
      <c r="K81" s="36"/>
    </row>
    <row r="82" spans="1:26" s="12" customFormat="1" ht="15.95" hidden="1" customHeight="1" x14ac:dyDescent="0.15">
      <c r="B82" s="135"/>
      <c r="C82" s="134"/>
      <c r="D82" s="30"/>
      <c r="K82" s="36"/>
    </row>
    <row r="83" spans="1:26" s="12" customFormat="1" ht="15.95" hidden="1" customHeight="1" x14ac:dyDescent="0.15">
      <c r="B83" s="36" t="s">
        <v>65</v>
      </c>
      <c r="C83" s="27" t="s">
        <v>4</v>
      </c>
      <c r="D83" s="36" t="s">
        <v>1131</v>
      </c>
      <c r="F83" s="36"/>
      <c r="K83" s="36"/>
      <c r="O83" s="172"/>
      <c r="P83" s="43"/>
    </row>
    <row r="84" spans="1:26" s="12" customFormat="1" ht="15.95" hidden="1" customHeight="1" x14ac:dyDescent="0.15">
      <c r="C84" s="27" t="s">
        <v>4</v>
      </c>
      <c r="D84" s="172">
        <f>0.7*D71*D69^2/8</f>
        <v>402094.00000000006</v>
      </c>
      <c r="E84" s="43" t="s">
        <v>497</v>
      </c>
      <c r="F84" s="36"/>
      <c r="K84" s="36"/>
      <c r="O84" s="334"/>
    </row>
    <row r="85" spans="1:26" s="12" customFormat="1" ht="15.95" hidden="1" customHeight="1" x14ac:dyDescent="0.15">
      <c r="B85" s="135"/>
      <c r="C85" s="134"/>
      <c r="D85" s="30"/>
      <c r="K85" s="36"/>
    </row>
    <row r="86" spans="1:26" s="12" customFormat="1" ht="15.95" hidden="1" customHeight="1" x14ac:dyDescent="0.15">
      <c r="B86" s="78" t="s">
        <v>120</v>
      </c>
      <c r="C86" s="27" t="s">
        <v>4</v>
      </c>
      <c r="D86" s="36" t="s">
        <v>1130</v>
      </c>
      <c r="K86" s="36"/>
      <c r="O86" s="332"/>
      <c r="P86" s="43"/>
    </row>
    <row r="87" spans="1:26" s="12" customFormat="1" ht="15.95" hidden="1" customHeight="1" x14ac:dyDescent="0.15">
      <c r="B87" s="135"/>
      <c r="C87" s="27" t="s">
        <v>4</v>
      </c>
      <c r="D87" s="175">
        <f>0.7*(5*D71*D69^4)/(384*D72*D73)</f>
        <v>32.519181572965572</v>
      </c>
      <c r="E87" s="24" t="s">
        <v>458</v>
      </c>
      <c r="K87" s="36"/>
      <c r="O87" s="334"/>
    </row>
    <row r="88" spans="1:26" ht="15.95" hidden="1" customHeight="1" x14ac:dyDescent="0.15">
      <c r="B88" s="127"/>
      <c r="C88" s="20"/>
      <c r="D88" s="127"/>
      <c r="H88" s="43"/>
      <c r="K88" s="36"/>
      <c r="V88" s="24"/>
      <c r="X88" s="24"/>
      <c r="Z88" s="24"/>
    </row>
    <row r="89" spans="1:26" ht="15.95" hidden="1" customHeight="1" x14ac:dyDescent="0.15">
      <c r="C89" s="20"/>
      <c r="D89" s="30"/>
      <c r="E89" s="43"/>
      <c r="K89" s="36"/>
      <c r="V89" s="24"/>
      <c r="X89" s="24"/>
      <c r="Z89" s="24"/>
    </row>
    <row r="90" spans="1:26" ht="15.95" hidden="1" customHeight="1" x14ac:dyDescent="0.15">
      <c r="B90" s="128"/>
      <c r="C90" s="20"/>
      <c r="D90" s="127"/>
      <c r="H90" s="43"/>
      <c r="J90" s="43"/>
      <c r="K90" s="36"/>
      <c r="V90" s="24"/>
      <c r="X90" s="24"/>
      <c r="Z90" s="24"/>
    </row>
    <row r="91" spans="1:26" ht="15.95" hidden="1" customHeight="1" x14ac:dyDescent="0.15">
      <c r="B91" s="68"/>
      <c r="C91" s="20"/>
      <c r="D91" s="34"/>
      <c r="E91" s="43"/>
      <c r="K91" s="36"/>
      <c r="V91" s="24"/>
      <c r="X91" s="24"/>
      <c r="Z91" s="24"/>
    </row>
    <row r="92" spans="1:26" ht="15.95" hidden="1" customHeight="1" x14ac:dyDescent="0.15">
      <c r="B92" s="68"/>
      <c r="C92" s="20"/>
      <c r="K92" s="36"/>
      <c r="V92" s="24"/>
      <c r="X92" s="24"/>
      <c r="Z92" s="24"/>
    </row>
    <row r="93" spans="1:26" ht="15.95" hidden="1" customHeight="1" x14ac:dyDescent="0.15">
      <c r="A93" s="43"/>
      <c r="B93" s="77" t="s">
        <v>144</v>
      </c>
      <c r="C93" s="43"/>
      <c r="D93" s="43"/>
      <c r="E93" s="43"/>
      <c r="F93" s="43"/>
      <c r="G93" s="43"/>
      <c r="H93" s="43"/>
      <c r="I93" s="43"/>
      <c r="J93" s="43"/>
      <c r="K93" s="43"/>
      <c r="L93" s="43"/>
      <c r="N93" s="45" t="s">
        <v>355</v>
      </c>
      <c r="O93" s="361">
        <f>G6</f>
        <v>5</v>
      </c>
      <c r="P93" s="46"/>
    </row>
    <row r="94" spans="1:26" s="47" customFormat="1" ht="15.95" hidden="1" customHeight="1" x14ac:dyDescent="0.15">
      <c r="J94" s="48"/>
      <c r="K94" s="37"/>
      <c r="L94" s="48"/>
      <c r="M94" s="48"/>
      <c r="N94" s="37"/>
      <c r="O94" s="37"/>
      <c r="P94" s="37"/>
      <c r="V94" s="52"/>
      <c r="X94" s="52"/>
      <c r="Z94" s="52"/>
    </row>
    <row r="95" spans="1:26" s="47" customFormat="1" ht="15.95" hidden="1" customHeight="1" x14ac:dyDescent="0.15">
      <c r="A95" s="24"/>
      <c r="B95" s="49" t="s">
        <v>289</v>
      </c>
      <c r="C95" s="49"/>
      <c r="G95" s="50" t="s">
        <v>290</v>
      </c>
      <c r="H95" s="101"/>
      <c r="I95" s="43"/>
      <c r="J95" s="102"/>
      <c r="K95" s="51"/>
      <c r="L95" s="24"/>
      <c r="M95" s="24"/>
      <c r="N95" s="52" t="s">
        <v>291</v>
      </c>
      <c r="O95" s="360">
        <v>14</v>
      </c>
      <c r="P95" s="24"/>
      <c r="S95" s="24"/>
      <c r="V95" s="52"/>
      <c r="X95" s="52"/>
      <c r="Z95" s="52"/>
    </row>
    <row r="96" spans="1:26" s="47" customFormat="1" ht="15.95" hidden="1" customHeight="1" x14ac:dyDescent="0.15">
      <c r="A96" s="24"/>
      <c r="B96" s="49"/>
      <c r="C96" s="24"/>
      <c r="D96" s="24"/>
      <c r="E96" s="24"/>
      <c r="G96" s="37"/>
      <c r="I96" s="24"/>
      <c r="J96" s="49"/>
      <c r="K96" s="38"/>
      <c r="L96" s="24"/>
      <c r="M96" s="38" t="s">
        <v>292</v>
      </c>
      <c r="N96" s="103">
        <v>5</v>
      </c>
      <c r="O96" s="103">
        <v>6</v>
      </c>
      <c r="Q96" s="702" t="s">
        <v>293</v>
      </c>
      <c r="R96" s="703"/>
      <c r="S96" s="704" t="s">
        <v>328</v>
      </c>
      <c r="T96" s="705"/>
      <c r="U96" s="706"/>
      <c r="V96" s="52"/>
      <c r="X96" s="52"/>
      <c r="Z96" s="52"/>
    </row>
    <row r="97" spans="1:26" s="47" customFormat="1" ht="15.95" hidden="1" customHeight="1" x14ac:dyDescent="0.15">
      <c r="A97" s="24"/>
      <c r="B97" s="36" t="s">
        <v>344</v>
      </c>
      <c r="C97" s="20" t="s">
        <v>4</v>
      </c>
      <c r="D97" s="176">
        <f>D10</f>
        <v>2600</v>
      </c>
      <c r="E97" s="29" t="s">
        <v>479</v>
      </c>
      <c r="F97" s="24"/>
      <c r="G97" s="36" t="s">
        <v>294</v>
      </c>
      <c r="H97" s="20" t="s">
        <v>295</v>
      </c>
      <c r="I97" s="155">
        <f>2*D97*D99/(SQRT(D98*D100))</f>
        <v>60.087764625503318</v>
      </c>
      <c r="K97" s="38"/>
      <c r="L97" s="24"/>
      <c r="M97" s="24"/>
      <c r="N97" s="53">
        <v>0</v>
      </c>
      <c r="O97" s="53">
        <v>0</v>
      </c>
      <c r="P97" s="37" t="s">
        <v>296</v>
      </c>
      <c r="Q97" s="54" t="s">
        <v>297</v>
      </c>
      <c r="R97" s="55" t="s">
        <v>298</v>
      </c>
      <c r="S97" s="55">
        <v>1</v>
      </c>
      <c r="T97" s="56">
        <f>IF(O93=5, N97, O97)</f>
        <v>0</v>
      </c>
      <c r="U97" s="55" t="str">
        <f>P97</f>
        <v>S  ≤  S₁</v>
      </c>
      <c r="V97" s="52"/>
      <c r="X97" s="52"/>
      <c r="Z97" s="52"/>
    </row>
    <row r="98" spans="1:26" s="47" customFormat="1" ht="15.95" hidden="1" customHeight="1" x14ac:dyDescent="0.15">
      <c r="A98" s="24"/>
      <c r="B98" s="36" t="s">
        <v>995</v>
      </c>
      <c r="C98" s="20" t="s">
        <v>4</v>
      </c>
      <c r="D98" s="176">
        <f>D41</f>
        <v>1671313.4310645724</v>
      </c>
      <c r="E98" s="29" t="s">
        <v>475</v>
      </c>
      <c r="F98" s="24"/>
      <c r="G98" s="57" t="s">
        <v>300</v>
      </c>
      <c r="H98" s="38"/>
      <c r="I98" s="38"/>
      <c r="J98" s="52"/>
      <c r="K98" s="38"/>
      <c r="L98" s="24"/>
      <c r="M98" s="24"/>
      <c r="N98" s="58">
        <v>0</v>
      </c>
      <c r="O98" s="58">
        <v>0</v>
      </c>
      <c r="P98" s="37" t="s">
        <v>301</v>
      </c>
      <c r="Q98" s="59">
        <f>IF(O93=5, N98,O98)</f>
        <v>0</v>
      </c>
      <c r="R98" s="60">
        <f>IF(O93=5,N100,O100)</f>
        <v>3823</v>
      </c>
      <c r="S98" s="62">
        <v>2</v>
      </c>
      <c r="T98" s="61">
        <f>IF(O93=5, N99, O99)</f>
        <v>9.9573859136873004</v>
      </c>
      <c r="U98" s="62" t="str">
        <f>P99</f>
        <v>S₁&lt;  S  &lt; S₂</v>
      </c>
      <c r="V98" s="52"/>
      <c r="X98" s="52"/>
      <c r="Z98" s="52"/>
    </row>
    <row r="99" spans="1:26" s="47" customFormat="1" ht="15.95" hidden="1" customHeight="1" x14ac:dyDescent="0.15">
      <c r="B99" s="36" t="s">
        <v>996</v>
      </c>
      <c r="C99" s="20" t="s">
        <v>4</v>
      </c>
      <c r="D99" s="176">
        <f>D44</f>
        <v>15413.288888888888</v>
      </c>
      <c r="E99" s="29" t="s">
        <v>471</v>
      </c>
      <c r="G99" s="36" t="str">
        <f>U101</f>
        <v>S₁&lt;  S  &lt; S₂</v>
      </c>
      <c r="J99" s="24"/>
      <c r="K99" s="38"/>
      <c r="L99" s="24"/>
      <c r="M99" s="24"/>
      <c r="N99" s="58">
        <f>10.5-0.07*SQRT(I97)</f>
        <v>9.9573859136873004</v>
      </c>
      <c r="O99" s="58">
        <f>16.7-0.14*SQRT(I97)</f>
        <v>15.6147718273746</v>
      </c>
      <c r="P99" s="37" t="s">
        <v>302</v>
      </c>
      <c r="Q99" s="104" t="s">
        <v>303</v>
      </c>
      <c r="S99" s="60">
        <v>3</v>
      </c>
      <c r="T99" s="63">
        <f>IF(O93=5, N101, O101)</f>
        <v>392.74218548619081</v>
      </c>
      <c r="U99" s="60" t="str">
        <f>P101</f>
        <v>S  ≥  S₂</v>
      </c>
      <c r="V99" s="52"/>
      <c r="X99" s="52"/>
      <c r="Z99" s="52"/>
    </row>
    <row r="100" spans="1:26" s="47" customFormat="1" ht="15.95" hidden="1" customHeight="1" thickBot="1" x14ac:dyDescent="0.2">
      <c r="A100" s="24"/>
      <c r="B100" s="36" t="s">
        <v>304</v>
      </c>
      <c r="C100" s="20" t="s">
        <v>4</v>
      </c>
      <c r="D100" s="176">
        <f>D45</f>
        <v>1064553.0909090908</v>
      </c>
      <c r="E100" s="29" t="s">
        <v>475</v>
      </c>
      <c r="F100" s="38"/>
      <c r="H100" s="38"/>
      <c r="I100" s="24"/>
      <c r="J100" s="24"/>
      <c r="K100" s="24"/>
      <c r="L100" s="24"/>
      <c r="M100" s="24"/>
      <c r="N100" s="58">
        <v>3823</v>
      </c>
      <c r="O100" s="58">
        <v>2400</v>
      </c>
      <c r="P100" s="37" t="s">
        <v>306</v>
      </c>
      <c r="Q100" s="55" t="s">
        <v>307</v>
      </c>
      <c r="V100" s="52"/>
      <c r="X100" s="52"/>
      <c r="Z100" s="52"/>
    </row>
    <row r="101" spans="1:26" s="47" customFormat="1" ht="15.95" hidden="1" customHeight="1" thickBot="1" x14ac:dyDescent="0.2">
      <c r="A101" s="24"/>
      <c r="B101" s="36" t="s">
        <v>308</v>
      </c>
      <c r="C101" s="20" t="s">
        <v>4</v>
      </c>
      <c r="D101" s="24">
        <f>T101</f>
        <v>9.9573859136873004</v>
      </c>
      <c r="E101" s="29" t="s">
        <v>187</v>
      </c>
      <c r="F101" s="38"/>
      <c r="K101" s="24"/>
      <c r="L101" s="24"/>
      <c r="M101" s="24"/>
      <c r="N101" s="64">
        <f>23599/I97</f>
        <v>392.74218548619081</v>
      </c>
      <c r="O101" s="64">
        <f>23599/I97</f>
        <v>392.74218548619081</v>
      </c>
      <c r="P101" s="37" t="s">
        <v>309</v>
      </c>
      <c r="Q101" s="60">
        <f>I97</f>
        <v>60.087764625503318</v>
      </c>
      <c r="S101" s="105">
        <f>IF(Q101&lt;=Q98,1,IF(AND(Q101&gt;Q98,Q101&lt;R98),2,3))</f>
        <v>2</v>
      </c>
      <c r="T101" s="65">
        <f>VLOOKUP(S101, S97:T99, 2, FALSE)</f>
        <v>9.9573859136873004</v>
      </c>
      <c r="U101" s="66" t="str">
        <f>VLOOKUP(S101,S97:U99, 3, FALSE)</f>
        <v>S₁&lt;  S  &lt; S₂</v>
      </c>
      <c r="V101" s="52"/>
      <c r="X101" s="52"/>
      <c r="Z101" s="52"/>
    </row>
    <row r="102" spans="1:26" s="47" customFormat="1" ht="15.95" hidden="1" customHeight="1" x14ac:dyDescent="0.15">
      <c r="A102" s="24"/>
      <c r="C102" s="20" t="s">
        <v>4</v>
      </c>
      <c r="D102" s="29">
        <f>D101*6.894757</f>
        <v>68.653756230096917</v>
      </c>
      <c r="E102" s="29" t="s">
        <v>457</v>
      </c>
      <c r="F102" s="38"/>
      <c r="G102" s="38"/>
      <c r="H102" s="38"/>
      <c r="I102" s="24"/>
      <c r="J102" s="24"/>
      <c r="K102" s="24"/>
      <c r="L102" s="24"/>
      <c r="M102" s="24"/>
      <c r="V102" s="52"/>
      <c r="X102" s="52"/>
      <c r="Z102" s="52"/>
    </row>
    <row r="103" spans="1:26" s="47" customFormat="1" ht="15.95" hidden="1" customHeight="1" x14ac:dyDescent="0.15">
      <c r="A103" s="24"/>
      <c r="C103" s="20"/>
      <c r="D103" s="29"/>
      <c r="E103" s="29"/>
      <c r="F103" s="38"/>
      <c r="G103" s="38"/>
      <c r="H103" s="38"/>
      <c r="I103" s="24"/>
      <c r="J103" s="24"/>
      <c r="K103" s="24"/>
      <c r="L103" s="24"/>
      <c r="M103" s="24"/>
      <c r="V103" s="52"/>
      <c r="X103" s="52"/>
      <c r="Z103" s="52"/>
    </row>
    <row r="104" spans="1:26" s="47" customFormat="1" ht="15.95" hidden="1" customHeight="1" x14ac:dyDescent="0.15">
      <c r="A104" s="24"/>
      <c r="B104" s="49" t="s">
        <v>310</v>
      </c>
      <c r="C104" s="49"/>
      <c r="D104" s="156"/>
      <c r="E104" s="156"/>
      <c r="G104" s="50" t="s">
        <v>311</v>
      </c>
      <c r="H104" s="101"/>
      <c r="I104" s="38"/>
      <c r="J104" s="102"/>
      <c r="K104" s="24"/>
      <c r="L104" s="24"/>
      <c r="M104" s="24"/>
      <c r="N104" s="52" t="s">
        <v>291</v>
      </c>
      <c r="O104" s="360">
        <v>16</v>
      </c>
      <c r="P104" s="24"/>
      <c r="S104" s="24"/>
      <c r="V104" s="52"/>
      <c r="X104" s="52"/>
      <c r="Z104" s="52"/>
    </row>
    <row r="105" spans="1:26" s="47" customFormat="1" ht="15.95" hidden="1" customHeight="1" x14ac:dyDescent="0.15">
      <c r="A105" s="24"/>
      <c r="B105" s="49"/>
      <c r="C105" s="49"/>
      <c r="D105" s="156"/>
      <c r="E105" s="156"/>
      <c r="F105" s="49"/>
      <c r="G105" s="49"/>
      <c r="H105" s="49"/>
      <c r="I105" s="24"/>
      <c r="J105" s="49"/>
      <c r="K105" s="24"/>
      <c r="L105" s="24"/>
      <c r="M105" s="38" t="s">
        <v>292</v>
      </c>
      <c r="N105" s="103">
        <v>5</v>
      </c>
      <c r="O105" s="103">
        <v>6</v>
      </c>
      <c r="Q105" s="702" t="s">
        <v>293</v>
      </c>
      <c r="R105" s="703"/>
      <c r="S105" s="704" t="s">
        <v>328</v>
      </c>
      <c r="T105" s="705"/>
      <c r="U105" s="706"/>
      <c r="V105" s="52"/>
      <c r="X105" s="52"/>
      <c r="Z105" s="52"/>
    </row>
    <row r="106" spans="1:26" s="47" customFormat="1" ht="15.95" hidden="1" customHeight="1" x14ac:dyDescent="0.15">
      <c r="A106" s="24"/>
      <c r="B106" s="36" t="s">
        <v>77</v>
      </c>
      <c r="C106" s="20" t="s">
        <v>4</v>
      </c>
      <c r="D106" s="23">
        <f>R41</f>
        <v>116</v>
      </c>
      <c r="E106" s="29" t="s">
        <v>479</v>
      </c>
      <c r="F106" s="24"/>
      <c r="G106" s="36" t="str">
        <f>U110</f>
        <v>S  ≥  S₂</v>
      </c>
      <c r="K106" s="24"/>
      <c r="L106" s="24"/>
      <c r="M106" s="24"/>
      <c r="N106" s="53">
        <v>9.6999999999999993</v>
      </c>
      <c r="O106" s="53">
        <v>15.2</v>
      </c>
      <c r="P106" s="37" t="s">
        <v>296</v>
      </c>
      <c r="Q106" s="54" t="s">
        <v>297</v>
      </c>
      <c r="R106" s="55" t="s">
        <v>298</v>
      </c>
      <c r="S106" s="55">
        <v>1</v>
      </c>
      <c r="T106" s="56">
        <f>IF(O93=5, N106, O106)</f>
        <v>9.6999999999999993</v>
      </c>
      <c r="U106" s="55" t="str">
        <f>P106</f>
        <v>S  ≤  S₁</v>
      </c>
      <c r="V106" s="52"/>
      <c r="X106" s="52"/>
      <c r="Z106" s="52"/>
    </row>
    <row r="107" spans="1:26" s="47" customFormat="1" ht="15.95" hidden="1" customHeight="1" x14ac:dyDescent="0.15">
      <c r="A107" s="24"/>
      <c r="B107" s="36" t="s">
        <v>333</v>
      </c>
      <c r="C107" s="20" t="s">
        <v>4</v>
      </c>
      <c r="D107" s="23">
        <f>R43</f>
        <v>2</v>
      </c>
      <c r="E107" s="29" t="s">
        <v>479</v>
      </c>
      <c r="G107" s="24"/>
      <c r="H107" s="24"/>
      <c r="I107" s="24"/>
      <c r="J107" s="24"/>
      <c r="K107" s="24"/>
      <c r="L107" s="24"/>
      <c r="M107" s="24"/>
      <c r="N107" s="58">
        <v>25.6</v>
      </c>
      <c r="O107" s="58">
        <v>22.8</v>
      </c>
      <c r="P107" s="37" t="s">
        <v>301</v>
      </c>
      <c r="Q107" s="59">
        <f>IF(O93=5, N107,O107)</f>
        <v>25.6</v>
      </c>
      <c r="R107" s="60">
        <f>IF(O93=5,N109,O109)</f>
        <v>50</v>
      </c>
      <c r="S107" s="62">
        <v>2</v>
      </c>
      <c r="T107" s="61">
        <f>IF(O93=5, N108, O108)</f>
        <v>6.9860000000000007</v>
      </c>
      <c r="U107" s="62" t="str">
        <f>P108</f>
        <v>S₁&lt;  S  &lt; S₂</v>
      </c>
      <c r="V107" s="52"/>
      <c r="X107" s="52"/>
      <c r="Z107" s="52"/>
    </row>
    <row r="108" spans="1:26" s="47" customFormat="1" ht="15.95" hidden="1" customHeight="1" x14ac:dyDescent="0.15">
      <c r="A108" s="24"/>
      <c r="B108" s="36" t="s">
        <v>356</v>
      </c>
      <c r="C108" s="20" t="s">
        <v>4</v>
      </c>
      <c r="D108" s="23">
        <f>D106/D107</f>
        <v>58</v>
      </c>
      <c r="E108" s="29"/>
      <c r="F108" s="24"/>
      <c r="H108" s="24"/>
      <c r="I108" s="24"/>
      <c r="J108" s="24"/>
      <c r="K108" s="24"/>
      <c r="L108" s="24"/>
      <c r="M108" s="24"/>
      <c r="N108" s="58">
        <f>11.8-0.083*D108</f>
        <v>6.9860000000000007</v>
      </c>
      <c r="O108" s="58">
        <f>19-0.17*(D108)</f>
        <v>9.1399999999999988</v>
      </c>
      <c r="P108" s="37" t="s">
        <v>302</v>
      </c>
      <c r="Q108" s="104" t="s">
        <v>303</v>
      </c>
      <c r="S108" s="60">
        <v>3</v>
      </c>
      <c r="T108" s="63">
        <f>IF(O93=5, N110, O110)</f>
        <v>6.5862068965517242</v>
      </c>
      <c r="U108" s="60" t="str">
        <f>P110</f>
        <v>S  ≥  S₂</v>
      </c>
      <c r="V108" s="52"/>
      <c r="X108" s="52"/>
      <c r="Z108" s="52"/>
    </row>
    <row r="109" spans="1:26" s="47" customFormat="1" ht="15.95" hidden="1" customHeight="1" thickBot="1" x14ac:dyDescent="0.2">
      <c r="A109" s="24"/>
      <c r="B109" s="36" t="s">
        <v>319</v>
      </c>
      <c r="C109" s="20" t="s">
        <v>4</v>
      </c>
      <c r="D109" s="24">
        <f>T110</f>
        <v>6.5862068965517242</v>
      </c>
      <c r="E109" s="29" t="s">
        <v>187</v>
      </c>
      <c r="F109" s="24"/>
      <c r="G109" s="24"/>
      <c r="H109" s="24"/>
      <c r="I109" s="24"/>
      <c r="J109" s="24"/>
      <c r="K109" s="24"/>
      <c r="L109" s="24"/>
      <c r="M109" s="24"/>
      <c r="N109" s="58">
        <v>50</v>
      </c>
      <c r="O109" s="58">
        <v>39</v>
      </c>
      <c r="P109" s="37" t="s">
        <v>306</v>
      </c>
      <c r="Q109" s="55" t="s">
        <v>307</v>
      </c>
      <c r="V109" s="52"/>
      <c r="X109" s="52"/>
      <c r="Z109" s="52"/>
    </row>
    <row r="110" spans="1:26" s="47" customFormat="1" ht="15.95" hidden="1" customHeight="1" thickBot="1" x14ac:dyDescent="0.2">
      <c r="A110" s="24"/>
      <c r="B110" s="43"/>
      <c r="C110" s="20" t="s">
        <v>4</v>
      </c>
      <c r="D110" s="29">
        <f>D109*6.894757</f>
        <v>45.410296103448275</v>
      </c>
      <c r="E110" s="29" t="s">
        <v>457</v>
      </c>
      <c r="F110" s="24"/>
      <c r="G110" s="24"/>
      <c r="H110" s="24"/>
      <c r="I110" s="24"/>
      <c r="J110" s="24"/>
      <c r="K110" s="24"/>
      <c r="L110" s="24"/>
      <c r="M110" s="24"/>
      <c r="N110" s="64">
        <f>382/D108</f>
        <v>6.5862068965517242</v>
      </c>
      <c r="O110" s="64">
        <f>484/D108</f>
        <v>8.3448275862068968</v>
      </c>
      <c r="P110" s="37" t="s">
        <v>309</v>
      </c>
      <c r="Q110" s="60">
        <f>D108</f>
        <v>58</v>
      </c>
      <c r="S110" s="105">
        <f>IF(Q110&lt;=Q107,1,IF(AND(Q110&gt;Q107,Q110&lt;R107),2,3))</f>
        <v>3</v>
      </c>
      <c r="T110" s="65">
        <f>VLOOKUP(S110, S106:T108, 2, FALSE)</f>
        <v>6.5862068965517242</v>
      </c>
      <c r="U110" s="66" t="str">
        <f>VLOOKUP(S110,S106:U108, 3, FALSE)</f>
        <v>S  ≥  S₂</v>
      </c>
      <c r="V110" s="52"/>
      <c r="X110" s="52"/>
      <c r="Z110" s="52"/>
    </row>
    <row r="111" spans="1:26" s="47" customFormat="1" ht="15.95" hidden="1" customHeight="1" x14ac:dyDescent="0.15">
      <c r="A111" s="24"/>
      <c r="C111" s="20"/>
      <c r="D111" s="29"/>
      <c r="E111" s="29"/>
      <c r="F111" s="38"/>
      <c r="G111" s="38"/>
      <c r="H111" s="38"/>
      <c r="I111" s="24"/>
      <c r="J111" s="24"/>
      <c r="K111" s="24"/>
      <c r="L111" s="24"/>
      <c r="M111" s="24"/>
      <c r="V111" s="52"/>
      <c r="X111" s="52"/>
      <c r="Z111" s="52"/>
    </row>
    <row r="112" spans="1:26" s="47" customFormat="1" ht="15.95" hidden="1" customHeight="1" x14ac:dyDescent="0.15">
      <c r="A112" s="24"/>
      <c r="B112" s="49" t="s">
        <v>310</v>
      </c>
      <c r="C112" s="49"/>
      <c r="D112" s="156"/>
      <c r="E112" s="156"/>
      <c r="F112" s="49"/>
      <c r="G112" s="50" t="s">
        <v>324</v>
      </c>
      <c r="H112" s="101"/>
      <c r="I112" s="24"/>
      <c r="J112" s="49"/>
      <c r="K112" s="24"/>
      <c r="L112" s="24"/>
      <c r="M112" s="24"/>
      <c r="N112" s="52" t="s">
        <v>291</v>
      </c>
      <c r="O112" s="360">
        <v>18</v>
      </c>
      <c r="P112" s="24"/>
      <c r="S112" s="24"/>
      <c r="V112" s="52"/>
      <c r="X112" s="52"/>
      <c r="Z112" s="52"/>
    </row>
    <row r="113" spans="1:26" s="47" customFormat="1" ht="15.95" hidden="1" customHeight="1" x14ac:dyDescent="0.15">
      <c r="A113" s="24"/>
      <c r="B113" s="49"/>
      <c r="C113" s="49"/>
      <c r="D113" s="156"/>
      <c r="E113" s="156"/>
      <c r="F113" s="49"/>
      <c r="G113" s="49"/>
      <c r="H113" s="49"/>
      <c r="I113" s="24"/>
      <c r="J113" s="49"/>
      <c r="K113" s="24"/>
      <c r="L113" s="24"/>
      <c r="M113" s="38" t="s">
        <v>292</v>
      </c>
      <c r="N113" s="103">
        <v>5</v>
      </c>
      <c r="O113" s="103">
        <v>6</v>
      </c>
      <c r="Q113" s="702" t="s">
        <v>293</v>
      </c>
      <c r="R113" s="703"/>
      <c r="S113" s="704" t="s">
        <v>328</v>
      </c>
      <c r="T113" s="705"/>
      <c r="U113" s="706"/>
      <c r="V113" s="52"/>
      <c r="X113" s="52"/>
      <c r="Z113" s="52"/>
    </row>
    <row r="114" spans="1:26" s="47" customFormat="1" ht="15.95" hidden="1" customHeight="1" x14ac:dyDescent="0.15">
      <c r="A114" s="24"/>
      <c r="B114" s="36" t="s">
        <v>76</v>
      </c>
      <c r="C114" s="20" t="s">
        <v>4</v>
      </c>
      <c r="D114" s="23">
        <f>R40</f>
        <v>56</v>
      </c>
      <c r="E114" s="29" t="s">
        <v>479</v>
      </c>
      <c r="F114" s="24"/>
      <c r="G114" s="36" t="str">
        <f>U118</f>
        <v>S  ≤  S₁</v>
      </c>
      <c r="K114" s="24"/>
      <c r="L114" s="24"/>
      <c r="M114" s="24"/>
      <c r="N114" s="53">
        <v>12.6</v>
      </c>
      <c r="O114" s="53">
        <v>19.7</v>
      </c>
      <c r="P114" s="37" t="s">
        <v>296</v>
      </c>
      <c r="Q114" s="54" t="s">
        <v>297</v>
      </c>
      <c r="R114" s="55" t="s">
        <v>298</v>
      </c>
      <c r="S114" s="55">
        <v>1</v>
      </c>
      <c r="T114" s="56">
        <f>IF(O93=5, N114, O114)</f>
        <v>12.6</v>
      </c>
      <c r="U114" s="55" t="str">
        <f>P114</f>
        <v>S  ≤  S₁</v>
      </c>
      <c r="V114" s="52"/>
      <c r="X114" s="52"/>
      <c r="Z114" s="52"/>
    </row>
    <row r="115" spans="1:26" s="47" customFormat="1" ht="15.95" hidden="1" customHeight="1" x14ac:dyDescent="0.15">
      <c r="A115" s="24"/>
      <c r="B115" s="36" t="s">
        <v>333</v>
      </c>
      <c r="C115" s="20" t="s">
        <v>4</v>
      </c>
      <c r="D115" s="23">
        <f>R42</f>
        <v>2</v>
      </c>
      <c r="E115" s="29" t="s">
        <v>479</v>
      </c>
      <c r="F115" s="24"/>
      <c r="H115" s="24"/>
      <c r="I115" s="24"/>
      <c r="J115" s="24"/>
      <c r="K115" s="24"/>
      <c r="L115" s="24"/>
      <c r="M115" s="24"/>
      <c r="N115" s="58">
        <v>61</v>
      </c>
      <c r="O115" s="58">
        <v>54.9</v>
      </c>
      <c r="P115" s="37" t="s">
        <v>301</v>
      </c>
      <c r="Q115" s="59">
        <f>IF(O93=5, N115,O115)</f>
        <v>61</v>
      </c>
      <c r="R115" s="60">
        <f>IF(O93=5,N117,O117)</f>
        <v>115</v>
      </c>
      <c r="S115" s="62">
        <v>2</v>
      </c>
      <c r="T115" s="61">
        <f>IF(O93=5, N116, O116)</f>
        <v>15.028000000000002</v>
      </c>
      <c r="U115" s="62" t="str">
        <f>P116</f>
        <v>S₁&lt;  S  &lt; S₂</v>
      </c>
      <c r="V115" s="52"/>
      <c r="X115" s="52"/>
      <c r="Z115" s="52"/>
    </row>
    <row r="116" spans="1:26" s="47" customFormat="1" ht="15.95" hidden="1" customHeight="1" x14ac:dyDescent="0.15">
      <c r="A116" s="24"/>
      <c r="B116" s="36" t="s">
        <v>357</v>
      </c>
      <c r="C116" s="20" t="s">
        <v>4</v>
      </c>
      <c r="D116" s="23">
        <f>D114/D115</f>
        <v>28</v>
      </c>
      <c r="E116" s="29"/>
      <c r="F116" s="24"/>
      <c r="H116" s="24"/>
      <c r="I116" s="24"/>
      <c r="J116" s="24"/>
      <c r="K116" s="24"/>
      <c r="L116" s="24"/>
      <c r="M116" s="24"/>
      <c r="N116" s="58">
        <f>17.1-0.074*D116</f>
        <v>15.028000000000002</v>
      </c>
      <c r="O116" s="58">
        <f>27.9-0.15*(D116)</f>
        <v>23.7</v>
      </c>
      <c r="P116" s="37" t="s">
        <v>302</v>
      </c>
      <c r="Q116" s="104" t="s">
        <v>303</v>
      </c>
      <c r="S116" s="60">
        <v>3</v>
      </c>
      <c r="T116" s="63">
        <f>IF(O93=5, N118, O118)</f>
        <v>35.214285714285715</v>
      </c>
      <c r="U116" s="60" t="str">
        <f>P118</f>
        <v>S  ≥  S₂</v>
      </c>
      <c r="V116" s="52"/>
      <c r="X116" s="52"/>
      <c r="Z116" s="52"/>
    </row>
    <row r="117" spans="1:26" s="47" customFormat="1" ht="15.95" hidden="1" customHeight="1" thickBot="1" x14ac:dyDescent="0.2">
      <c r="A117" s="24"/>
      <c r="B117" s="36" t="s">
        <v>335</v>
      </c>
      <c r="C117" s="20" t="s">
        <v>4</v>
      </c>
      <c r="D117" s="24">
        <f>T118</f>
        <v>12.6</v>
      </c>
      <c r="E117" s="29" t="s">
        <v>187</v>
      </c>
      <c r="F117" s="24"/>
      <c r="G117" s="24"/>
      <c r="H117" s="24"/>
      <c r="I117" s="24"/>
      <c r="J117" s="24"/>
      <c r="K117" s="24"/>
      <c r="L117" s="24"/>
      <c r="M117" s="24"/>
      <c r="N117" s="58">
        <v>115</v>
      </c>
      <c r="O117" s="58">
        <v>93</v>
      </c>
      <c r="P117" s="37" t="s">
        <v>306</v>
      </c>
      <c r="Q117" s="55" t="s">
        <v>307</v>
      </c>
      <c r="V117" s="52"/>
      <c r="X117" s="52"/>
      <c r="Z117" s="52"/>
    </row>
    <row r="118" spans="1:26" s="47" customFormat="1" ht="15.95" hidden="1" customHeight="1" thickBot="1" x14ac:dyDescent="0.2">
      <c r="A118" s="24"/>
      <c r="B118" s="38"/>
      <c r="C118" s="20" t="s">
        <v>4</v>
      </c>
      <c r="D118" s="29">
        <f>D117*6.894757</f>
        <v>86.873938199999998</v>
      </c>
      <c r="E118" s="29" t="s">
        <v>457</v>
      </c>
      <c r="F118" s="24"/>
      <c r="G118" s="24"/>
      <c r="H118" s="24"/>
      <c r="I118" s="24"/>
      <c r="J118" s="24"/>
      <c r="K118" s="24"/>
      <c r="L118" s="24"/>
      <c r="M118" s="24"/>
      <c r="N118" s="64">
        <f>986/D116</f>
        <v>35.214285714285715</v>
      </c>
      <c r="O118" s="64">
        <f>1298/D116</f>
        <v>46.357142857142854</v>
      </c>
      <c r="P118" s="37" t="s">
        <v>309</v>
      </c>
      <c r="Q118" s="60">
        <f>D116</f>
        <v>28</v>
      </c>
      <c r="S118" s="105">
        <f>IF(Q118&lt;=Q115,1,IF(AND(Q118&gt;Q115,Q118&lt;=R115),2,3))</f>
        <v>1</v>
      </c>
      <c r="T118" s="65">
        <f>VLOOKUP(S118, S114:T116, 2, FALSE)</f>
        <v>12.6</v>
      </c>
      <c r="U118" s="66" t="str">
        <f>VLOOKUP(S118,S114:U116, 3, FALSE)</f>
        <v>S  ≤  S₁</v>
      </c>
      <c r="V118" s="52"/>
      <c r="X118" s="52"/>
      <c r="Z118" s="52"/>
    </row>
    <row r="119" spans="1:26" s="47" customFormat="1" ht="15.95" hidden="1" customHeight="1" x14ac:dyDescent="0.15">
      <c r="A119" s="24"/>
      <c r="B119" s="24"/>
      <c r="C119" s="24"/>
      <c r="D119" s="29"/>
      <c r="E119" s="29"/>
      <c r="F119" s="24"/>
      <c r="G119" s="24"/>
      <c r="H119" s="24"/>
      <c r="I119" s="24"/>
      <c r="J119" s="24"/>
      <c r="K119" s="24"/>
      <c r="L119" s="24"/>
      <c r="M119" s="24"/>
      <c r="N119" s="37"/>
      <c r="V119" s="52"/>
      <c r="X119" s="52"/>
      <c r="Z119" s="52"/>
    </row>
    <row r="120" spans="1:26" s="47" customFormat="1" ht="15.95" hidden="1" customHeight="1" x14ac:dyDescent="0.15">
      <c r="A120" s="24"/>
      <c r="B120" s="35" t="s">
        <v>336</v>
      </c>
      <c r="C120" s="24"/>
      <c r="D120" s="29"/>
      <c r="E120" s="19" t="s">
        <v>337</v>
      </c>
      <c r="F120" s="24" t="s">
        <v>338</v>
      </c>
      <c r="G120" s="24"/>
      <c r="H120" s="24"/>
      <c r="I120" s="24"/>
      <c r="J120" s="24"/>
      <c r="K120" s="24"/>
      <c r="L120" s="24"/>
      <c r="M120" s="24"/>
      <c r="N120" s="37"/>
      <c r="V120" s="52"/>
      <c r="X120" s="52"/>
      <c r="Z120" s="52"/>
    </row>
    <row r="121" spans="1:26" s="47" customFormat="1" ht="15.95" hidden="1" customHeight="1" x14ac:dyDescent="0.15">
      <c r="A121" s="24"/>
      <c r="B121" s="35"/>
      <c r="C121" s="24"/>
      <c r="D121" s="29"/>
      <c r="E121" s="29"/>
      <c r="F121" s="24"/>
      <c r="G121" s="24"/>
      <c r="H121" s="24"/>
      <c r="I121" s="24"/>
      <c r="J121" s="24"/>
      <c r="K121" s="24"/>
      <c r="L121" s="24"/>
      <c r="M121" s="24"/>
      <c r="N121" s="37"/>
      <c r="V121" s="52"/>
      <c r="X121" s="52"/>
      <c r="Z121" s="52"/>
    </row>
    <row r="122" spans="1:26" s="47" customFormat="1" ht="15.95" hidden="1" customHeight="1" x14ac:dyDescent="0.15">
      <c r="A122" s="24"/>
      <c r="B122" s="36" t="s">
        <v>135</v>
      </c>
      <c r="C122" s="20" t="s">
        <v>4</v>
      </c>
      <c r="D122" s="695" t="s">
        <v>1129</v>
      </c>
      <c r="E122" s="695"/>
      <c r="F122" s="24"/>
      <c r="G122" s="24"/>
      <c r="H122" s="24"/>
      <c r="I122" s="24"/>
      <c r="J122" s="24"/>
      <c r="K122" s="24"/>
      <c r="L122" s="24"/>
      <c r="M122" s="24"/>
      <c r="N122" s="37"/>
      <c r="V122" s="52"/>
      <c r="X122" s="52"/>
      <c r="Z122" s="52"/>
    </row>
    <row r="123" spans="1:26" s="47" customFormat="1" ht="15.95" hidden="1" customHeight="1" x14ac:dyDescent="0.15">
      <c r="A123" s="24"/>
      <c r="B123" s="38"/>
      <c r="C123" s="20" t="s">
        <v>4</v>
      </c>
      <c r="D123" s="23">
        <f>D14/D44</f>
        <v>26.087488718248903</v>
      </c>
      <c r="E123" s="29" t="s">
        <v>457</v>
      </c>
      <c r="F123" s="24"/>
      <c r="G123" s="24"/>
      <c r="H123" s="24"/>
      <c r="I123" s="24"/>
      <c r="J123" s="24"/>
      <c r="K123" s="24"/>
      <c r="L123" s="24"/>
      <c r="M123" s="24"/>
      <c r="N123" s="24"/>
      <c r="O123" s="24"/>
      <c r="V123" s="52"/>
      <c r="X123" s="52"/>
      <c r="Z123" s="52"/>
    </row>
    <row r="124" spans="1:26" s="47" customFormat="1" ht="15.95" hidden="1" customHeight="1" x14ac:dyDescent="0.15">
      <c r="A124" s="24"/>
      <c r="B124" s="36" t="s">
        <v>139</v>
      </c>
      <c r="C124" s="20" t="s">
        <v>4</v>
      </c>
      <c r="D124" s="22" t="s">
        <v>341</v>
      </c>
      <c r="E124" s="157"/>
      <c r="F124" s="36"/>
      <c r="H124" s="24"/>
      <c r="I124" s="24"/>
      <c r="J124" s="24"/>
      <c r="K124" s="24"/>
      <c r="L124" s="24"/>
      <c r="M124" s="24"/>
      <c r="N124" s="24"/>
      <c r="O124" s="24"/>
      <c r="V124" s="52"/>
      <c r="X124" s="52"/>
      <c r="Z124" s="52"/>
    </row>
    <row r="125" spans="1:26" s="47" customFormat="1" ht="15.95" hidden="1" customHeight="1" x14ac:dyDescent="0.15">
      <c r="A125" s="24"/>
      <c r="B125" s="43"/>
      <c r="C125" s="20" t="s">
        <v>4</v>
      </c>
      <c r="D125" s="67">
        <f>MIN(D102,D110,D118)</f>
        <v>45.410296103448275</v>
      </c>
      <c r="E125" s="29" t="s">
        <v>457</v>
      </c>
      <c r="F125" s="24"/>
      <c r="G125" s="38"/>
      <c r="H125" s="43"/>
      <c r="I125" s="38"/>
      <c r="J125" s="24"/>
      <c r="K125" s="24"/>
      <c r="L125" s="24"/>
      <c r="M125" s="24"/>
      <c r="N125" s="24"/>
      <c r="O125" s="24"/>
      <c r="V125" s="52"/>
      <c r="X125" s="52"/>
      <c r="Z125" s="52"/>
    </row>
    <row r="126" spans="1:26" s="47" customFormat="1" ht="15.95" hidden="1" customHeight="1" x14ac:dyDescent="0.15">
      <c r="A126" s="24"/>
      <c r="C126" s="20"/>
      <c r="F126" s="24"/>
      <c r="G126" s="24"/>
      <c r="H126" s="24"/>
      <c r="I126" s="24"/>
      <c r="J126" s="24"/>
      <c r="K126" s="24"/>
      <c r="L126" s="24"/>
      <c r="M126" s="24"/>
      <c r="N126" s="24"/>
      <c r="O126" s="24"/>
      <c r="V126" s="52"/>
      <c r="X126" s="52"/>
      <c r="Z126" s="52"/>
    </row>
    <row r="127" spans="1:26" ht="15.95" hidden="1" customHeight="1" x14ac:dyDescent="0.15">
      <c r="N127" s="20"/>
    </row>
    <row r="128" spans="1:26" ht="15.95" hidden="1" customHeight="1" x14ac:dyDescent="0.15">
      <c r="B128" s="35" t="s">
        <v>142</v>
      </c>
      <c r="N128" s="20"/>
    </row>
    <row r="129" spans="1:14" ht="15.95" hidden="1" customHeight="1" x14ac:dyDescent="0.15">
      <c r="N129" s="20"/>
    </row>
    <row r="130" spans="1:14" ht="15.95" hidden="1" customHeight="1" x14ac:dyDescent="0.15">
      <c r="B130" s="36" t="s">
        <v>358</v>
      </c>
      <c r="C130" s="20" t="s">
        <v>4</v>
      </c>
      <c r="D130" s="38">
        <f>D123/D125</f>
        <v>0.57448400377789921</v>
      </c>
      <c r="E130" s="39" t="str">
        <f>IF(D130&gt;F130,"&gt;","&lt;")</f>
        <v>&lt;</v>
      </c>
      <c r="F130" s="19">
        <v>1</v>
      </c>
      <c r="G130" s="107" t="str">
        <f>IF(D130&lt;F130,"O.K.","N.G.")</f>
        <v>O.K.</v>
      </c>
      <c r="N130" s="20"/>
    </row>
    <row r="131" spans="1:14" ht="15.95" hidden="1" customHeight="1" x14ac:dyDescent="0.15">
      <c r="B131" s="68"/>
      <c r="D131" s="43"/>
      <c r="N131" s="20"/>
    </row>
    <row r="132" spans="1:14" ht="15.95" hidden="1" customHeight="1" x14ac:dyDescent="0.15">
      <c r="A132" s="43"/>
      <c r="B132" s="43"/>
      <c r="C132" s="43"/>
      <c r="D132" s="43"/>
      <c r="E132" s="43"/>
      <c r="F132" s="49"/>
      <c r="G132" s="43"/>
      <c r="H132" s="43"/>
      <c r="I132" s="43"/>
      <c r="J132" s="43"/>
      <c r="K132" s="43"/>
      <c r="L132" s="43"/>
      <c r="M132" s="43"/>
      <c r="N132" s="20"/>
    </row>
    <row r="133" spans="1:14" ht="15.95" hidden="1" customHeight="1" x14ac:dyDescent="0.15">
      <c r="A133" s="43"/>
      <c r="B133" s="43"/>
      <c r="C133" s="43"/>
      <c r="D133" s="43"/>
      <c r="E133" s="43"/>
      <c r="F133" s="43"/>
      <c r="G133" s="43"/>
      <c r="H133" s="43"/>
      <c r="I133" s="43"/>
      <c r="J133" s="43"/>
      <c r="K133" s="43"/>
      <c r="L133" s="43"/>
      <c r="M133" s="43"/>
      <c r="N133" s="20"/>
    </row>
    <row r="134" spans="1:14" ht="15.95" hidden="1" customHeight="1" x14ac:dyDescent="0.15">
      <c r="A134" s="43"/>
      <c r="B134" s="43"/>
      <c r="C134" s="43"/>
      <c r="D134" s="43"/>
      <c r="E134" s="43"/>
      <c r="F134" s="43"/>
      <c r="G134" s="43"/>
      <c r="H134" s="43"/>
      <c r="I134" s="43"/>
      <c r="J134" s="43"/>
      <c r="K134" s="43"/>
      <c r="L134" s="43"/>
      <c r="M134" s="43"/>
      <c r="N134" s="20"/>
    </row>
    <row r="135" spans="1:14" ht="15.95" hidden="1" customHeight="1" x14ac:dyDescent="0.15">
      <c r="B135" s="49"/>
      <c r="D135" s="43"/>
    </row>
    <row r="136" spans="1:14" ht="15.95" hidden="1" customHeight="1" x14ac:dyDescent="0.15">
      <c r="B136" s="49"/>
      <c r="D136" s="43"/>
    </row>
    <row r="137" spans="1:14" ht="15.95" hidden="1" customHeight="1" x14ac:dyDescent="0.15">
      <c r="B137" s="49"/>
      <c r="D137" s="43"/>
    </row>
    <row r="138" spans="1:14" ht="15.95" hidden="1" customHeight="1" x14ac:dyDescent="0.15">
      <c r="B138" s="49"/>
      <c r="D138" s="43"/>
    </row>
    <row r="139" spans="1:14" ht="15.95" hidden="1" customHeight="1" x14ac:dyDescent="0.15">
      <c r="B139" s="40" t="s">
        <v>145</v>
      </c>
    </row>
    <row r="140" spans="1:14" ht="15.95" hidden="1" customHeight="1" x14ac:dyDescent="0.15"/>
    <row r="141" spans="1:14" ht="15.95" hidden="1" customHeight="1" x14ac:dyDescent="0.15">
      <c r="B141" s="35" t="s">
        <v>147</v>
      </c>
    </row>
    <row r="142" spans="1:14" ht="15.95" hidden="1" customHeight="1" x14ac:dyDescent="0.15">
      <c r="B142" s="35"/>
    </row>
    <row r="143" spans="1:14" ht="15.95" hidden="1" customHeight="1" x14ac:dyDescent="0.15">
      <c r="B143" s="78" t="s">
        <v>120</v>
      </c>
      <c r="C143" s="20" t="s">
        <v>4</v>
      </c>
      <c r="D143" s="24">
        <f>D16</f>
        <v>32.519181572965572</v>
      </c>
      <c r="E143" s="29" t="s">
        <v>479</v>
      </c>
    </row>
    <row r="144" spans="1:14" ht="15.95" hidden="1" customHeight="1" x14ac:dyDescent="0.15"/>
    <row r="145" spans="1:26" ht="15.95" hidden="1" customHeight="1" x14ac:dyDescent="0.15"/>
    <row r="146" spans="1:26" ht="15.95" hidden="1" customHeight="1" x14ac:dyDescent="0.15">
      <c r="B146" s="35" t="s">
        <v>146</v>
      </c>
      <c r="E146" s="42" t="s">
        <v>150</v>
      </c>
    </row>
    <row r="147" spans="1:26" ht="15.95" hidden="1" customHeight="1" x14ac:dyDescent="0.15">
      <c r="B147" s="35"/>
    </row>
    <row r="148" spans="1:26" ht="15.95" hidden="1" customHeight="1" x14ac:dyDescent="0.15">
      <c r="B148" s="78" t="s">
        <v>2</v>
      </c>
      <c r="C148" s="20" t="s">
        <v>4</v>
      </c>
      <c r="D148" s="167">
        <f>D9</f>
        <v>5000</v>
      </c>
      <c r="E148" s="24" t="str">
        <f>IF(D148&gt;4110,"mm      &gt;     4110 mm","mm     ≤     4110 mm")</f>
        <v>mm      &gt;     4110 mm</v>
      </c>
      <c r="M148" s="43" t="s">
        <v>151</v>
      </c>
      <c r="N148" s="41">
        <f>D148/240+6.35</f>
        <v>27.18333333333333</v>
      </c>
    </row>
    <row r="149" spans="1:26" ht="15.95" hidden="1" customHeight="1" x14ac:dyDescent="0.15">
      <c r="B149" s="78" t="s">
        <v>148</v>
      </c>
      <c r="C149" s="20" t="s">
        <v>4</v>
      </c>
      <c r="D149" s="177">
        <f>D148</f>
        <v>5000</v>
      </c>
      <c r="E149" s="35" t="str">
        <f>IF(D148&lt;4110,"mm      /     175","mm      /      240 + 6.35 mm ")</f>
        <v xml:space="preserve">mm      /      240 + 6.35 mm </v>
      </c>
      <c r="M149" s="43" t="s">
        <v>152</v>
      </c>
      <c r="N149" s="41">
        <f>D148/175</f>
        <v>28.571428571428573</v>
      </c>
    </row>
    <row r="150" spans="1:26" ht="15.95" hidden="1" customHeight="1" x14ac:dyDescent="0.15">
      <c r="B150" s="38"/>
      <c r="C150" s="20" t="s">
        <v>4</v>
      </c>
      <c r="D150" s="38">
        <f>IF(D148&gt;4110,N148,N149)</f>
        <v>27.18333333333333</v>
      </c>
      <c r="E150" s="24" t="s">
        <v>468</v>
      </c>
    </row>
    <row r="151" spans="1:26" ht="15.95" hidden="1" customHeight="1" x14ac:dyDescent="0.15"/>
    <row r="152" spans="1:26" ht="15.95" hidden="1" customHeight="1" x14ac:dyDescent="0.15"/>
    <row r="153" spans="1:26" ht="15.95" hidden="1" customHeight="1" x14ac:dyDescent="0.15">
      <c r="B153" s="35" t="s">
        <v>153</v>
      </c>
    </row>
    <row r="154" spans="1:26" s="20" customFormat="1" ht="15.95" hidden="1" customHeight="1" x14ac:dyDescent="0.15">
      <c r="A154" s="43"/>
      <c r="C154" s="43"/>
      <c r="D154" s="43"/>
      <c r="E154" s="43"/>
      <c r="F154" s="43"/>
      <c r="G154" s="43"/>
      <c r="H154" s="43"/>
      <c r="I154" s="43"/>
      <c r="J154" s="43"/>
      <c r="K154" s="43"/>
      <c r="L154" s="43"/>
      <c r="M154" s="43"/>
      <c r="O154" s="24"/>
      <c r="P154" s="24"/>
      <c r="Q154" s="24"/>
      <c r="R154" s="24"/>
      <c r="S154" s="24"/>
      <c r="T154" s="24"/>
      <c r="U154" s="24"/>
      <c r="V154" s="38"/>
      <c r="X154" s="38"/>
      <c r="Z154" s="38"/>
    </row>
    <row r="155" spans="1:26" s="20" customFormat="1" ht="15.95" hidden="1" customHeight="1" x14ac:dyDescent="0.15">
      <c r="A155" s="24"/>
      <c r="B155" s="36" t="s">
        <v>359</v>
      </c>
      <c r="C155" s="20" t="s">
        <v>4</v>
      </c>
      <c r="D155" s="38">
        <f>D143/(D150)</f>
        <v>1.1962911676136938</v>
      </c>
      <c r="E155" s="39" t="str">
        <f>IF(D155&gt;F155,"&gt;","&lt;")</f>
        <v>&gt;</v>
      </c>
      <c r="F155" s="19">
        <v>1</v>
      </c>
      <c r="G155" s="107" t="str">
        <f>IF(D155&lt;F155,"O.K.","N.G.")</f>
        <v>N.G.</v>
      </c>
      <c r="I155" s="43"/>
      <c r="J155" s="43"/>
      <c r="K155" s="43"/>
      <c r="L155" s="43"/>
      <c r="M155" s="43"/>
      <c r="O155" s="24"/>
      <c r="P155" s="24"/>
      <c r="Q155" s="24"/>
      <c r="R155" s="24"/>
      <c r="S155" s="24"/>
      <c r="T155" s="24"/>
      <c r="U155" s="24"/>
      <c r="V155" s="38"/>
      <c r="X155" s="38"/>
      <c r="Z155" s="38"/>
    </row>
    <row r="156" spans="1:26" ht="15.95" hidden="1" customHeight="1" x14ac:dyDescent="0.15"/>
    <row r="157" spans="1:26" ht="15.95" hidden="1" customHeight="1" x14ac:dyDescent="0.15"/>
    <row r="158" spans="1:26" ht="15.95" hidden="1" customHeight="1" x14ac:dyDescent="0.15"/>
  </sheetData>
  <sheetProtection algorithmName="SHA-512" hashValue="9/TqvGrAaK3BFSJNLfTvR9b98pg2CoHnQ9kiSN3at48Uue+0TJh1sHYvPi3bdj7tmLIEWfnoQGKDo6HuSN0Fwg==" saltValue="gxJNyQtXL/bRdQvPTxWJtA==" spinCount="100000" sheet="1" objects="1" scenarios="1" selectLockedCells="1"/>
  <protectedRanges>
    <protectedRange sqref="D7:D10" name="범위1_2"/>
  </protectedRanges>
  <mergeCells count="9">
    <mergeCell ref="Q113:R113"/>
    <mergeCell ref="S113:U113"/>
    <mergeCell ref="D122:E122"/>
    <mergeCell ref="G22:K45"/>
    <mergeCell ref="Q96:R96"/>
    <mergeCell ref="S96:U96"/>
    <mergeCell ref="Q105:R105"/>
    <mergeCell ref="S105:U105"/>
    <mergeCell ref="B46:K46"/>
  </mergeCells>
  <phoneticPr fontId="2" type="noConversion"/>
  <pageMargins left="0.51181102362204722" right="0.51181102362204722" top="0.78740157480314965" bottom="0.59055118110236227" header="0.39370078740157483" footer="0.39370078740157483"/>
  <pageSetup paperSize="9" orientation="portrait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A3FAED-D0C7-4843-8DA6-4276DACACD8F}">
  <sheetPr codeName="Sheet18">
    <tabColor rgb="FF00B0F0"/>
  </sheetPr>
  <dimension ref="A1:AA190"/>
  <sheetViews>
    <sheetView view="pageBreakPreview" zoomScale="75" zoomScaleNormal="100" zoomScaleSheetLayoutView="75" workbookViewId="0">
      <selection activeCell="G6" sqref="G6"/>
    </sheetView>
  </sheetViews>
  <sheetFormatPr defaultRowHeight="15.95" customHeight="1" x14ac:dyDescent="0.15"/>
  <cols>
    <col min="1" max="1" width="2.77734375" style="24" customWidth="1"/>
    <col min="2" max="2" width="7.33203125" style="24" customWidth="1"/>
    <col min="3" max="3" width="5.33203125" style="24" customWidth="1"/>
    <col min="4" max="4" width="9.33203125" style="24" customWidth="1"/>
    <col min="5" max="5" width="5.33203125" style="24" customWidth="1"/>
    <col min="6" max="6" width="9.33203125" style="24" customWidth="1"/>
    <col min="7" max="8" width="7.33203125" style="24" customWidth="1"/>
    <col min="9" max="9" width="5.33203125" style="24" customWidth="1"/>
    <col min="10" max="10" width="9.33203125" style="24" customWidth="1"/>
    <col min="11" max="11" width="7.33203125" style="24" customWidth="1"/>
    <col min="12" max="12" width="2.77734375" style="24" customWidth="1"/>
    <col min="13" max="14" width="6.77734375" style="24" customWidth="1"/>
    <col min="15" max="15" width="8.77734375" style="24" customWidth="1"/>
    <col min="16" max="16" width="9.77734375" style="24" customWidth="1"/>
    <col min="17" max="17" width="6.77734375" style="24" customWidth="1"/>
    <col min="18" max="18" width="8.77734375" style="24" customWidth="1"/>
    <col min="19" max="20" width="6.77734375" style="24" customWidth="1"/>
    <col min="21" max="21" width="9.77734375" style="24" hidden="1" customWidth="1"/>
    <col min="22" max="22" width="0" style="38" hidden="1" customWidth="1"/>
    <col min="23" max="23" width="5.77734375" style="24" hidden="1" customWidth="1"/>
    <col min="24" max="24" width="5.77734375" style="38" hidden="1" customWidth="1"/>
    <col min="25" max="25" width="5.77734375" style="24" hidden="1" customWidth="1"/>
    <col min="26" max="26" width="5.77734375" style="38" hidden="1" customWidth="1"/>
    <col min="27" max="27" width="5.77734375" style="24" customWidth="1"/>
    <col min="28" max="16384" width="8.88671875" style="24"/>
  </cols>
  <sheetData>
    <row r="1" spans="1:17" ht="15.95" customHeight="1" x14ac:dyDescent="0.15">
      <c r="A1" s="76" t="s">
        <v>188</v>
      </c>
    </row>
    <row r="3" spans="1:17" ht="15.95" customHeight="1" x14ac:dyDescent="0.15">
      <c r="B3" s="77" t="s">
        <v>58</v>
      </c>
    </row>
    <row r="5" spans="1:17" ht="15.95" customHeight="1" x14ac:dyDescent="0.15">
      <c r="B5" s="78" t="s">
        <v>994</v>
      </c>
      <c r="C5" s="20" t="s">
        <v>4</v>
      </c>
      <c r="D5" s="443">
        <f>지진하중!E37</f>
        <v>0.15317866666666669</v>
      </c>
      <c r="E5" s="43" t="s">
        <v>456</v>
      </c>
      <c r="H5" s="36" t="s">
        <v>997</v>
      </c>
      <c r="I5" s="49"/>
      <c r="M5" s="38"/>
      <c r="P5" s="12"/>
      <c r="Q5" s="12"/>
    </row>
    <row r="6" spans="1:17" ht="15.95" customHeight="1" x14ac:dyDescent="0.15">
      <c r="B6" s="78" t="s">
        <v>190</v>
      </c>
      <c r="C6" s="20" t="s">
        <v>4</v>
      </c>
      <c r="D6" s="172">
        <f>710100/100*9.80665</f>
        <v>69637.021649999995</v>
      </c>
      <c r="E6" s="43" t="s">
        <v>457</v>
      </c>
      <c r="F6" s="80" t="s">
        <v>191</v>
      </c>
      <c r="G6" s="561">
        <v>5</v>
      </c>
      <c r="H6" s="36" t="s">
        <v>203</v>
      </c>
      <c r="I6" s="43"/>
    </row>
    <row r="7" spans="1:17" ht="15.95" customHeight="1" x14ac:dyDescent="0.15">
      <c r="B7" s="78" t="s">
        <v>60</v>
      </c>
      <c r="C7" s="20" t="s">
        <v>4</v>
      </c>
      <c r="D7" s="560">
        <v>1200</v>
      </c>
      <c r="E7" s="43" t="s">
        <v>458</v>
      </c>
      <c r="H7" s="36" t="s">
        <v>70</v>
      </c>
    </row>
    <row r="8" spans="1:17" ht="15.95" customHeight="1" x14ac:dyDescent="0.15">
      <c r="B8" s="78" t="s">
        <v>61</v>
      </c>
      <c r="C8" s="20" t="s">
        <v>4</v>
      </c>
      <c r="D8" s="560">
        <v>1200</v>
      </c>
      <c r="E8" s="43" t="s">
        <v>458</v>
      </c>
      <c r="H8" s="36" t="s">
        <v>71</v>
      </c>
      <c r="N8" s="698"/>
      <c r="O8" s="698"/>
    </row>
    <row r="9" spans="1:17" ht="15.95" customHeight="1" x14ac:dyDescent="0.15">
      <c r="B9" s="80" t="s">
        <v>392</v>
      </c>
      <c r="C9" s="20" t="s">
        <v>4</v>
      </c>
      <c r="D9" s="560">
        <v>5000</v>
      </c>
      <c r="E9" s="43" t="s">
        <v>458</v>
      </c>
      <c r="H9" s="36" t="s">
        <v>401</v>
      </c>
      <c r="I9" s="43"/>
      <c r="N9" s="698"/>
      <c r="O9" s="698"/>
    </row>
    <row r="10" spans="1:17" ht="15.95" customHeight="1" x14ac:dyDescent="0.15">
      <c r="B10" s="80" t="s">
        <v>393</v>
      </c>
      <c r="C10" s="20" t="s">
        <v>4</v>
      </c>
      <c r="D10" s="560">
        <v>2600</v>
      </c>
      <c r="E10" s="43" t="s">
        <v>458</v>
      </c>
      <c r="H10" s="36" t="s">
        <v>72</v>
      </c>
    </row>
    <row r="11" spans="1:17" ht="15.95" customHeight="1" x14ac:dyDescent="0.15">
      <c r="B11" s="36"/>
      <c r="C11" s="20"/>
      <c r="D11" s="150"/>
      <c r="E11" s="43"/>
      <c r="H11" s="36"/>
      <c r="I11" s="36"/>
    </row>
    <row r="12" spans="1:17" ht="15.95" customHeight="1" x14ac:dyDescent="0.15">
      <c r="B12" s="80"/>
      <c r="C12" s="20"/>
      <c r="D12" s="150"/>
      <c r="E12" s="43"/>
      <c r="I12" s="36"/>
    </row>
    <row r="13" spans="1:17" ht="15.95" customHeight="1" x14ac:dyDescent="0.15">
      <c r="B13" s="36" t="s">
        <v>65</v>
      </c>
      <c r="C13" s="20" t="s">
        <v>4</v>
      </c>
      <c r="D13" s="172">
        <f>D84</f>
        <v>402094.00000000006</v>
      </c>
      <c r="E13" s="43" t="s">
        <v>497</v>
      </c>
      <c r="F13" s="36"/>
      <c r="G13" s="80" t="s">
        <v>488</v>
      </c>
      <c r="H13" s="162" t="s">
        <v>66</v>
      </c>
      <c r="I13" s="20" t="s">
        <v>4</v>
      </c>
      <c r="J13" s="108">
        <f>D130</f>
        <v>0.24022491915338851</v>
      </c>
      <c r="K13" s="83" t="str">
        <f>IF(J13&lt;1,"O.K","N.G")</f>
        <v>O.K</v>
      </c>
      <c r="M13" s="165"/>
      <c r="N13" s="698"/>
      <c r="O13" s="698"/>
    </row>
    <row r="14" spans="1:17" ht="15.95" customHeight="1" x14ac:dyDescent="0.15">
      <c r="G14" s="80" t="s">
        <v>489</v>
      </c>
      <c r="H14" s="162" t="s">
        <v>66</v>
      </c>
      <c r="I14" s="20" t="s">
        <v>4</v>
      </c>
      <c r="J14" s="108">
        <f>D163</f>
        <v>0.12253939502124045</v>
      </c>
      <c r="K14" s="83" t="str">
        <f>IF(J14&lt;1,"O.K","N.G")</f>
        <v>O.K</v>
      </c>
      <c r="M14" s="165"/>
      <c r="N14" s="698"/>
      <c r="O14" s="698"/>
    </row>
    <row r="15" spans="1:17" ht="15.95" customHeight="1" x14ac:dyDescent="0.15">
      <c r="B15" s="36" t="s">
        <v>120</v>
      </c>
      <c r="C15" s="20" t="s">
        <v>4</v>
      </c>
      <c r="D15" s="79">
        <f>D87</f>
        <v>12.016630403508241</v>
      </c>
      <c r="E15" s="43" t="s">
        <v>458</v>
      </c>
      <c r="F15" s="36"/>
    </row>
    <row r="16" spans="1:17" ht="15.95" customHeight="1" x14ac:dyDescent="0.15">
      <c r="B16" s="36" t="s">
        <v>484</v>
      </c>
      <c r="C16" s="20" t="s">
        <v>4</v>
      </c>
      <c r="D16" s="79">
        <f>D177</f>
        <v>27.18333333333333</v>
      </c>
      <c r="E16" s="43" t="s">
        <v>458</v>
      </c>
      <c r="H16" s="80" t="s">
        <v>68</v>
      </c>
      <c r="I16" s="20" t="s">
        <v>4</v>
      </c>
      <c r="J16" s="108">
        <f>D182</f>
        <v>0.44205875181514076</v>
      </c>
      <c r="K16" s="83" t="str">
        <f>IF(J16&lt;1,"O.K","N.G")</f>
        <v>O.K</v>
      </c>
      <c r="O16" s="698"/>
      <c r="Q16" s="698"/>
    </row>
    <row r="17" spans="2:26" ht="15.95" customHeight="1" x14ac:dyDescent="0.15">
      <c r="O17" s="698"/>
      <c r="Q17" s="698"/>
    </row>
    <row r="18" spans="2:26" ht="15.95" customHeight="1" x14ac:dyDescent="0.15">
      <c r="B18" s="78"/>
      <c r="C18" s="82"/>
      <c r="D18" s="20"/>
    </row>
    <row r="19" spans="2:26" ht="15.95" customHeight="1" x14ac:dyDescent="0.15">
      <c r="B19" s="77" t="s">
        <v>78</v>
      </c>
      <c r="E19" s="49"/>
      <c r="H19" s="77" t="s">
        <v>485</v>
      </c>
      <c r="J19" s="559">
        <v>1</v>
      </c>
    </row>
    <row r="20" spans="2:26" ht="15.95" customHeight="1" thickBot="1" x14ac:dyDescent="0.2">
      <c r="K20" s="81"/>
      <c r="L20" s="81"/>
      <c r="N20" s="24" t="s">
        <v>474</v>
      </c>
      <c r="Q20" s="20"/>
    </row>
    <row r="21" spans="2:26" ht="15.95" customHeight="1" thickBot="1" x14ac:dyDescent="0.2">
      <c r="B21" s="138"/>
      <c r="C21" s="139"/>
      <c r="D21" s="139"/>
      <c r="E21" s="139"/>
      <c r="F21" s="139"/>
      <c r="G21" s="139"/>
      <c r="H21" s="139"/>
      <c r="I21" s="139"/>
      <c r="J21" s="139"/>
      <c r="K21" s="140"/>
      <c r="M21" s="81"/>
    </row>
    <row r="22" spans="2:26" ht="15.95" customHeight="1" thickBot="1" x14ac:dyDescent="0.2">
      <c r="B22" s="91"/>
      <c r="K22" s="110"/>
      <c r="N22" s="138" t="s">
        <v>287</v>
      </c>
      <c r="O22" s="139"/>
      <c r="P22" s="139"/>
      <c r="Q22" s="138" t="s">
        <v>288</v>
      </c>
      <c r="R22" s="139"/>
      <c r="S22" s="140"/>
      <c r="U22" s="80" t="s">
        <v>155</v>
      </c>
      <c r="V22" s="24">
        <f>V36*X36</f>
        <v>60</v>
      </c>
      <c r="W22" s="80" t="s">
        <v>156</v>
      </c>
      <c r="X22" s="24">
        <f>X36/2</f>
        <v>15</v>
      </c>
      <c r="Y22" s="80" t="s">
        <v>157</v>
      </c>
      <c r="Z22" s="24">
        <f>V35+X34/2</f>
        <v>30</v>
      </c>
    </row>
    <row r="23" spans="2:26" ht="15.95" customHeight="1" x14ac:dyDescent="0.15">
      <c r="B23" s="91"/>
      <c r="K23" s="110"/>
      <c r="N23" s="84" t="s">
        <v>46</v>
      </c>
      <c r="O23" s="564">
        <v>60</v>
      </c>
      <c r="P23" s="154" t="s">
        <v>468</v>
      </c>
      <c r="Q23" s="84" t="s">
        <v>46</v>
      </c>
      <c r="R23" s="564">
        <v>60</v>
      </c>
      <c r="S23" s="85" t="s">
        <v>468</v>
      </c>
      <c r="U23" s="80" t="s">
        <v>158</v>
      </c>
      <c r="V23" s="24">
        <f>X34*V34</f>
        <v>112</v>
      </c>
      <c r="W23" s="80" t="s">
        <v>159</v>
      </c>
      <c r="X23" s="24">
        <f>X36+V34/2</f>
        <v>31</v>
      </c>
      <c r="Y23" s="80" t="s">
        <v>160</v>
      </c>
      <c r="Z23" s="24">
        <f>V35+X34/2</f>
        <v>30</v>
      </c>
    </row>
    <row r="24" spans="2:26" ht="15.95" customHeight="1" x14ac:dyDescent="0.15">
      <c r="B24" s="91"/>
      <c r="K24" s="110"/>
      <c r="N24" s="71" t="s">
        <v>199</v>
      </c>
      <c r="O24" s="565">
        <v>120</v>
      </c>
      <c r="P24" s="43" t="s">
        <v>468</v>
      </c>
      <c r="Q24" s="71" t="s">
        <v>199</v>
      </c>
      <c r="R24" s="565">
        <v>120</v>
      </c>
      <c r="S24" s="86" t="s">
        <v>468</v>
      </c>
      <c r="U24" s="80" t="s">
        <v>161</v>
      </c>
      <c r="V24" s="24">
        <f>X34*V34</f>
        <v>112</v>
      </c>
      <c r="W24" s="80" t="s">
        <v>162</v>
      </c>
      <c r="X24" s="24">
        <f>X36+(X35-V34)+V34/2</f>
        <v>149</v>
      </c>
      <c r="Y24" s="80" t="s">
        <v>163</v>
      </c>
      <c r="Z24" s="24">
        <f>V35+X34/2</f>
        <v>30</v>
      </c>
    </row>
    <row r="25" spans="2:26" ht="15.95" customHeight="1" x14ac:dyDescent="0.15">
      <c r="B25" s="91"/>
      <c r="K25" s="110"/>
      <c r="N25" s="71" t="s">
        <v>204</v>
      </c>
      <c r="O25" s="565">
        <v>30</v>
      </c>
      <c r="P25" s="43" t="s">
        <v>468</v>
      </c>
      <c r="Q25" s="91"/>
      <c r="R25" s="566"/>
      <c r="S25" s="110"/>
      <c r="U25" s="80" t="s">
        <v>164</v>
      </c>
      <c r="V25" s="24">
        <f>X35*V35</f>
        <v>240</v>
      </c>
      <c r="W25" s="80" t="s">
        <v>165</v>
      </c>
      <c r="X25" s="24">
        <f>X36+X35/2</f>
        <v>90</v>
      </c>
      <c r="Y25" s="80" t="s">
        <v>166</v>
      </c>
      <c r="Z25" s="24">
        <f>V35/2</f>
        <v>1</v>
      </c>
    </row>
    <row r="26" spans="2:26" ht="15.95" customHeight="1" x14ac:dyDescent="0.15">
      <c r="B26" s="91"/>
      <c r="K26" s="110"/>
      <c r="N26" s="71" t="s">
        <v>74</v>
      </c>
      <c r="O26" s="565">
        <v>2</v>
      </c>
      <c r="P26" s="43" t="s">
        <v>468</v>
      </c>
      <c r="Q26" s="71" t="s">
        <v>74</v>
      </c>
      <c r="R26" s="565">
        <v>2</v>
      </c>
      <c r="S26" s="86" t="s">
        <v>468</v>
      </c>
      <c r="U26" s="80" t="s">
        <v>167</v>
      </c>
      <c r="V26" s="24">
        <f>X35*V35</f>
        <v>240</v>
      </c>
      <c r="W26" s="80" t="s">
        <v>168</v>
      </c>
      <c r="X26" s="24">
        <f>X36+X35/2</f>
        <v>90</v>
      </c>
      <c r="Y26" s="80" t="s">
        <v>169</v>
      </c>
      <c r="Z26" s="24">
        <f>V35+X34+V35/2</f>
        <v>59</v>
      </c>
    </row>
    <row r="27" spans="2:26" ht="15.95" customHeight="1" x14ac:dyDescent="0.15">
      <c r="B27" s="91"/>
      <c r="K27" s="110"/>
      <c r="N27" s="71" t="s">
        <v>466</v>
      </c>
      <c r="O27" s="565">
        <v>2</v>
      </c>
      <c r="P27" s="43" t="s">
        <v>468</v>
      </c>
      <c r="Q27" s="71" t="s">
        <v>75</v>
      </c>
      <c r="R27" s="567">
        <v>2</v>
      </c>
      <c r="S27" s="86" t="s">
        <v>468</v>
      </c>
      <c r="U27" s="80"/>
      <c r="V27" s="24"/>
      <c r="W27" s="80"/>
      <c r="X27" s="24"/>
      <c r="Y27" s="80"/>
      <c r="Z27" s="24"/>
    </row>
    <row r="28" spans="2:26" ht="15.95" customHeight="1" thickBot="1" x14ac:dyDescent="0.2">
      <c r="B28" s="91"/>
      <c r="K28" s="110"/>
      <c r="N28" s="71" t="s">
        <v>192</v>
      </c>
      <c r="O28" s="565">
        <v>2</v>
      </c>
      <c r="P28" s="43" t="s">
        <v>468</v>
      </c>
      <c r="Q28" s="91"/>
      <c r="R28" s="566"/>
      <c r="S28" s="110"/>
      <c r="U28" s="80" t="s">
        <v>170</v>
      </c>
      <c r="V28" s="24">
        <f>X22-Z30</f>
        <v>-69.109947643979055</v>
      </c>
      <c r="W28" s="80" t="s">
        <v>171</v>
      </c>
      <c r="X28" s="24">
        <f>Z22-Z31</f>
        <v>0</v>
      </c>
      <c r="Y28" s="80" t="s">
        <v>172</v>
      </c>
      <c r="Z28" s="165">
        <f>V22*X22+V23*X23+V24*X24+V25*X25+V26*X26</f>
        <v>64260</v>
      </c>
    </row>
    <row r="29" spans="2:26" ht="15.95" customHeight="1" x14ac:dyDescent="0.15">
      <c r="B29" s="91"/>
      <c r="K29" s="110"/>
      <c r="N29" s="84" t="s">
        <v>196</v>
      </c>
      <c r="O29" s="151">
        <f>O24+O25</f>
        <v>150</v>
      </c>
      <c r="P29" s="85" t="s">
        <v>458</v>
      </c>
      <c r="Q29" s="91"/>
      <c r="R29" s="566"/>
      <c r="S29" s="110"/>
      <c r="U29" s="80" t="s">
        <v>174</v>
      </c>
      <c r="V29" s="24">
        <f>X23-Z30</f>
        <v>-53.109947643979055</v>
      </c>
      <c r="W29" s="80" t="s">
        <v>175</v>
      </c>
      <c r="X29" s="24">
        <f>Z23-Z31</f>
        <v>0</v>
      </c>
      <c r="Y29" s="80" t="s">
        <v>176</v>
      </c>
      <c r="Z29" s="165">
        <f>V22*Z22+V23*Z23+V24*Z24+V25*Z25+V26*Z26</f>
        <v>22920</v>
      </c>
    </row>
    <row r="30" spans="2:26" ht="15.95" customHeight="1" x14ac:dyDescent="0.15">
      <c r="B30" s="91"/>
      <c r="K30" s="110"/>
      <c r="N30" s="71" t="s">
        <v>77</v>
      </c>
      <c r="O30" s="23">
        <f>O23-2*O27</f>
        <v>56</v>
      </c>
      <c r="P30" s="43" t="s">
        <v>458</v>
      </c>
      <c r="Q30" s="91"/>
      <c r="R30" s="566"/>
      <c r="S30" s="110"/>
      <c r="U30" s="80" t="s">
        <v>177</v>
      </c>
      <c r="V30" s="24">
        <f>X24-Z30</f>
        <v>64.890052356020945</v>
      </c>
      <c r="W30" s="80" t="s">
        <v>178</v>
      </c>
      <c r="X30" s="24">
        <f>Z24-Z31</f>
        <v>0</v>
      </c>
      <c r="Y30" s="80" t="s">
        <v>179</v>
      </c>
      <c r="Z30" s="24">
        <f>Z28/(V22+V23+V24+V25+V26)</f>
        <v>84.109947643979055</v>
      </c>
    </row>
    <row r="31" spans="2:26" ht="15.95" customHeight="1" x14ac:dyDescent="0.15">
      <c r="B31" s="91"/>
      <c r="K31" s="110"/>
      <c r="N31" s="71" t="s">
        <v>193</v>
      </c>
      <c r="O31" s="23">
        <f>Z32</f>
        <v>1671313.4310645724</v>
      </c>
      <c r="P31" s="43" t="s">
        <v>469</v>
      </c>
      <c r="Q31" s="71" t="s">
        <v>193</v>
      </c>
      <c r="R31" s="565">
        <v>2728265</v>
      </c>
      <c r="S31" s="86" t="s">
        <v>469</v>
      </c>
      <c r="U31" s="80" t="s">
        <v>180</v>
      </c>
      <c r="V31" s="24">
        <f>X25-Z30</f>
        <v>5.890052356020945</v>
      </c>
      <c r="W31" s="80" t="s">
        <v>181</v>
      </c>
      <c r="X31" s="24">
        <f>Z25-Z31</f>
        <v>-29</v>
      </c>
      <c r="Y31" s="80" t="s">
        <v>182</v>
      </c>
      <c r="Z31" s="24">
        <f>Z29/(V22+V23+V24+V25+V26)</f>
        <v>30</v>
      </c>
    </row>
    <row r="32" spans="2:26" ht="15.95" customHeight="1" x14ac:dyDescent="0.15">
      <c r="B32" s="91"/>
      <c r="K32" s="110"/>
      <c r="N32" s="71" t="s">
        <v>194</v>
      </c>
      <c r="O32" s="23">
        <f>Z33</f>
        <v>462398.66666666663</v>
      </c>
      <c r="P32" s="43" t="s">
        <v>469</v>
      </c>
      <c r="Q32" s="71" t="s">
        <v>194</v>
      </c>
      <c r="R32" s="565">
        <v>684006</v>
      </c>
      <c r="S32" s="86" t="s">
        <v>469</v>
      </c>
      <c r="U32" s="80" t="s">
        <v>183</v>
      </c>
      <c r="V32" s="24">
        <f>X26-Z30</f>
        <v>5.890052356020945</v>
      </c>
      <c r="W32" s="80" t="s">
        <v>184</v>
      </c>
      <c r="X32" s="24">
        <f>Z26-Z31</f>
        <v>29</v>
      </c>
      <c r="Y32" s="80" t="s">
        <v>185</v>
      </c>
      <c r="Z32" s="165">
        <f>((V36*X36*X36*X36)/12+V22*V28*V28)+((X34*V34*V34*V34)/12+V23*V29*V29)+((X34*V34*V34*V34)/12+V24*V30*V30)+((V35*X35*X35*X35)/12+V25*V31*V31)+((V35*X35*X35*X35)/12+V26*V32*V32)</f>
        <v>1671313.4310645724</v>
      </c>
    </row>
    <row r="33" spans="1:27" ht="15.95" customHeight="1" x14ac:dyDescent="0.15">
      <c r="B33" s="71" t="s">
        <v>196</v>
      </c>
      <c r="C33" s="20" t="s">
        <v>4</v>
      </c>
      <c r="D33" s="155">
        <f>IF($J$19=1, O29,Q20)</f>
        <v>150</v>
      </c>
      <c r="E33" s="43" t="s">
        <v>468</v>
      </c>
      <c r="F33" s="568">
        <v>100</v>
      </c>
      <c r="G33" s="364" t="s">
        <v>468</v>
      </c>
      <c r="K33" s="110"/>
      <c r="N33" s="71" t="s">
        <v>890</v>
      </c>
      <c r="O33" s="23">
        <f>Z31</f>
        <v>30</v>
      </c>
      <c r="P33" s="43" t="s">
        <v>458</v>
      </c>
      <c r="Q33" s="71" t="s">
        <v>890</v>
      </c>
      <c r="R33" s="565">
        <v>30</v>
      </c>
      <c r="S33" s="86" t="s">
        <v>468</v>
      </c>
      <c r="U33" s="38"/>
      <c r="V33" s="24"/>
      <c r="W33" s="38"/>
      <c r="X33" s="24"/>
      <c r="Y33" s="80" t="s">
        <v>186</v>
      </c>
      <c r="Z33" s="165">
        <f>((X36*V36*V36*V36)/12+V22*X28*X28)+((V34*X34*X34*X34)/12+V23*X29*X29)+((V34*X34*X34*X34)/12+V24*X30*X30)+((X35*V35*V35*V35)/12+V25*X31*X31)+((X35*V35*V35*V35)/12+V26*X32*X32)</f>
        <v>462398.66666666663</v>
      </c>
    </row>
    <row r="34" spans="1:27" ht="15.95" customHeight="1" x14ac:dyDescent="0.15">
      <c r="B34" s="71" t="s">
        <v>46</v>
      </c>
      <c r="C34" s="20" t="s">
        <v>4</v>
      </c>
      <c r="D34" s="155">
        <f>IF($J$19=1, O23,Q20)</f>
        <v>60</v>
      </c>
      <c r="E34" s="43" t="s">
        <v>468</v>
      </c>
      <c r="F34" s="568">
        <v>50</v>
      </c>
      <c r="G34" s="364" t="s">
        <v>468</v>
      </c>
      <c r="K34" s="110"/>
      <c r="N34" s="71" t="s">
        <v>891</v>
      </c>
      <c r="O34" s="23">
        <f>Z30</f>
        <v>84.109947643979055</v>
      </c>
      <c r="P34" s="43" t="s">
        <v>458</v>
      </c>
      <c r="Q34" s="71" t="s">
        <v>891</v>
      </c>
      <c r="R34" s="565">
        <v>75</v>
      </c>
      <c r="S34" s="86" t="s">
        <v>468</v>
      </c>
      <c r="U34" s="80" t="s">
        <v>462</v>
      </c>
      <c r="V34" s="24">
        <f>O26</f>
        <v>2</v>
      </c>
      <c r="W34" s="80" t="s">
        <v>77</v>
      </c>
      <c r="X34" s="24">
        <f>O30</f>
        <v>56</v>
      </c>
      <c r="Y34" s="38"/>
      <c r="Z34" s="24"/>
    </row>
    <row r="35" spans="1:27" ht="15.95" customHeight="1" x14ac:dyDescent="0.15">
      <c r="B35" s="71" t="s">
        <v>199</v>
      </c>
      <c r="C35" s="20" t="s">
        <v>4</v>
      </c>
      <c r="D35" s="155">
        <f>IF($J$19=1, O24,Q20)</f>
        <v>120</v>
      </c>
      <c r="E35" s="43" t="s">
        <v>468</v>
      </c>
      <c r="F35" s="160" t="s">
        <v>51</v>
      </c>
      <c r="G35" s="364" t="s">
        <v>468</v>
      </c>
      <c r="K35" s="110"/>
      <c r="N35" s="71" t="s">
        <v>996</v>
      </c>
      <c r="O35" s="23">
        <f>O32/O33</f>
        <v>15413.288888888888</v>
      </c>
      <c r="P35" s="43" t="s">
        <v>470</v>
      </c>
      <c r="Q35" s="71" t="s">
        <v>996</v>
      </c>
      <c r="R35" s="565">
        <f>R32/R33</f>
        <v>22800.2</v>
      </c>
      <c r="S35" s="86" t="s">
        <v>470</v>
      </c>
      <c r="U35" s="80" t="s">
        <v>461</v>
      </c>
      <c r="V35" s="24">
        <f>O27</f>
        <v>2</v>
      </c>
      <c r="W35" s="80" t="s">
        <v>463</v>
      </c>
      <c r="X35" s="24">
        <f>O24</f>
        <v>120</v>
      </c>
      <c r="Y35" s="38"/>
      <c r="Z35" s="24"/>
    </row>
    <row r="36" spans="1:27" ht="15.95" customHeight="1" thickBot="1" x14ac:dyDescent="0.2">
      <c r="B36" s="71" t="s">
        <v>518</v>
      </c>
      <c r="C36" s="20" t="s">
        <v>4</v>
      </c>
      <c r="D36" s="155">
        <f>IF($J$19=1, O25,Q20)</f>
        <v>30</v>
      </c>
      <c r="E36" s="43" t="s">
        <v>468</v>
      </c>
      <c r="F36" s="160" t="s">
        <v>51</v>
      </c>
      <c r="G36" s="364" t="s">
        <v>468</v>
      </c>
      <c r="H36" s="50"/>
      <c r="K36" s="110"/>
      <c r="N36" s="87" t="s">
        <v>349</v>
      </c>
      <c r="O36" s="152">
        <f>(2*O27*O26*(O23-O27)^2*(O24-O26)^2)/((O23*O27)+(O24*O26)-O27^2-O26^2)</f>
        <v>1064553.0909090908</v>
      </c>
      <c r="P36" s="153" t="s">
        <v>470</v>
      </c>
      <c r="Q36" s="87" t="s">
        <v>304</v>
      </c>
      <c r="R36" s="152">
        <f>(2*R27*R26*(R23-R27)^2*(R24-R26)^2)/((R23*R27)+(R24*R26)-R27^2-R26^2)</f>
        <v>1064553.0909090908</v>
      </c>
      <c r="S36" s="88" t="s">
        <v>471</v>
      </c>
      <c r="U36" s="80" t="s">
        <v>467</v>
      </c>
      <c r="V36" s="24">
        <f>O28</f>
        <v>2</v>
      </c>
      <c r="W36" s="80" t="s">
        <v>464</v>
      </c>
      <c r="X36" s="24">
        <f>O25</f>
        <v>30</v>
      </c>
      <c r="Y36" s="38"/>
      <c r="Z36" s="24"/>
    </row>
    <row r="37" spans="1:27" ht="15.95" customHeight="1" x14ac:dyDescent="0.15">
      <c r="B37" s="71" t="s">
        <v>74</v>
      </c>
      <c r="C37" s="20" t="s">
        <v>4</v>
      </c>
      <c r="D37" s="155">
        <f>IF($J$19=1, O26,Q20)</f>
        <v>2</v>
      </c>
      <c r="E37" s="43" t="s">
        <v>468</v>
      </c>
      <c r="F37" s="568">
        <v>2</v>
      </c>
      <c r="G37" s="364" t="s">
        <v>468</v>
      </c>
      <c r="H37" s="50"/>
      <c r="K37" s="110"/>
    </row>
    <row r="38" spans="1:27" ht="15.95" customHeight="1" x14ac:dyDescent="0.15">
      <c r="B38" s="71" t="s">
        <v>466</v>
      </c>
      <c r="C38" s="20" t="s">
        <v>4</v>
      </c>
      <c r="D38" s="155">
        <f>IF($J$19=1, O27,Q20)</f>
        <v>2</v>
      </c>
      <c r="E38" s="43" t="s">
        <v>468</v>
      </c>
      <c r="F38" s="161">
        <f>F37</f>
        <v>2</v>
      </c>
      <c r="G38" s="364" t="s">
        <v>468</v>
      </c>
      <c r="K38" s="110"/>
      <c r="L38" s="81"/>
      <c r="N38" s="24" t="s">
        <v>205</v>
      </c>
    </row>
    <row r="39" spans="1:27" ht="15.95" customHeight="1" thickBot="1" x14ac:dyDescent="0.2">
      <c r="B39" s="71" t="s">
        <v>192</v>
      </c>
      <c r="C39" s="20" t="s">
        <v>4</v>
      </c>
      <c r="D39" s="155">
        <f>IF($J$19=1, O28,Q20)</f>
        <v>2</v>
      </c>
      <c r="E39" s="43" t="s">
        <v>468</v>
      </c>
      <c r="F39" s="160" t="s">
        <v>51</v>
      </c>
      <c r="G39" s="364" t="s">
        <v>468</v>
      </c>
      <c r="K39" s="86"/>
      <c r="L39" s="81"/>
      <c r="M39" s="81"/>
      <c r="N39" s="24" t="s">
        <v>460</v>
      </c>
      <c r="S39" s="69"/>
      <c r="T39" s="70"/>
    </row>
    <row r="40" spans="1:27" ht="15.95" customHeight="1" x14ac:dyDescent="0.15">
      <c r="B40" s="71" t="s">
        <v>361</v>
      </c>
      <c r="C40" s="20" t="s">
        <v>4</v>
      </c>
      <c r="D40" s="167">
        <f t="shared" ref="D40:D45" si="0">O40</f>
        <v>1671313.4310645724</v>
      </c>
      <c r="E40" s="43" t="s">
        <v>469</v>
      </c>
      <c r="F40" s="169">
        <f>(F34*F33^3-(F34-2*F37)*(F33-2*F38)^3)/12</f>
        <v>775178.66666666663</v>
      </c>
      <c r="G40" s="364" t="s">
        <v>469</v>
      </c>
      <c r="H40" s="336" t="s">
        <v>486</v>
      </c>
      <c r="I40" s="20" t="s">
        <v>4</v>
      </c>
      <c r="J40" s="167">
        <f>D40+F40*3</f>
        <v>3996849.4310645722</v>
      </c>
      <c r="K40" s="86" t="s">
        <v>469</v>
      </c>
      <c r="L40" s="81"/>
      <c r="M40" s="81"/>
      <c r="N40" s="84" t="s">
        <v>193</v>
      </c>
      <c r="O40" s="151">
        <f t="shared" ref="O40:O45" si="1">IF($J$19=1, O31,R31)</f>
        <v>1671313.4310645724</v>
      </c>
      <c r="P40" s="85" t="s">
        <v>469</v>
      </c>
      <c r="Q40" s="72" t="s">
        <v>350</v>
      </c>
      <c r="R40" s="151">
        <f>IF($J$19=1, O30,R23-R27*2)</f>
        <v>56</v>
      </c>
      <c r="S40" s="85" t="s">
        <v>468</v>
      </c>
      <c r="T40" s="44"/>
      <c r="U40" s="44"/>
    </row>
    <row r="41" spans="1:27" ht="15.95" customHeight="1" x14ac:dyDescent="0.15">
      <c r="B41" s="71" t="s">
        <v>362</v>
      </c>
      <c r="C41" s="20" t="s">
        <v>4</v>
      </c>
      <c r="D41" s="167">
        <f t="shared" si="0"/>
        <v>462398.66666666663</v>
      </c>
      <c r="E41" s="43" t="s">
        <v>469</v>
      </c>
      <c r="F41" s="169">
        <f>(F33*F34^3-(F33-2*F38)*(F34-2*F37)^3)/12</f>
        <v>262978.66666666669</v>
      </c>
      <c r="G41" s="364" t="s">
        <v>469</v>
      </c>
      <c r="H41" s="336" t="s">
        <v>487</v>
      </c>
      <c r="I41" s="20" t="s">
        <v>4</v>
      </c>
      <c r="J41" s="167">
        <f>D41+F41*3</f>
        <v>1251334.6666666665</v>
      </c>
      <c r="K41" s="86" t="s">
        <v>469</v>
      </c>
      <c r="L41" s="81"/>
      <c r="M41" s="81"/>
      <c r="N41" s="71" t="s">
        <v>194</v>
      </c>
      <c r="O41" s="23">
        <f t="shared" si="1"/>
        <v>462398.66666666663</v>
      </c>
      <c r="P41" s="43" t="s">
        <v>469</v>
      </c>
      <c r="Q41" s="73" t="s">
        <v>351</v>
      </c>
      <c r="R41" s="23">
        <f>IF($J$19=1, O24-2*O26,R24-R26*2)</f>
        <v>116</v>
      </c>
      <c r="S41" s="86" t="s">
        <v>468</v>
      </c>
      <c r="U41" s="44"/>
    </row>
    <row r="42" spans="1:27" ht="15.95" customHeight="1" x14ac:dyDescent="0.15">
      <c r="B42" s="71" t="s">
        <v>890</v>
      </c>
      <c r="C42" s="20" t="s">
        <v>4</v>
      </c>
      <c r="D42" s="173">
        <f t="shared" si="0"/>
        <v>30</v>
      </c>
      <c r="E42" s="43" t="s">
        <v>458</v>
      </c>
      <c r="F42" s="178">
        <f>F34/2</f>
        <v>25</v>
      </c>
      <c r="G42" s="364" t="s">
        <v>458</v>
      </c>
      <c r="K42" s="110"/>
      <c r="L42" s="81"/>
      <c r="M42" s="81"/>
      <c r="N42" s="71" t="s">
        <v>890</v>
      </c>
      <c r="O42" s="23">
        <f t="shared" si="1"/>
        <v>30</v>
      </c>
      <c r="P42" s="43" t="s">
        <v>458</v>
      </c>
      <c r="Q42" s="73" t="s">
        <v>352</v>
      </c>
      <c r="R42" s="23">
        <f>IF($J$19=1, O26,R26)</f>
        <v>2</v>
      </c>
      <c r="S42" s="86" t="s">
        <v>468</v>
      </c>
      <c r="T42" s="90"/>
      <c r="U42" s="44"/>
    </row>
    <row r="43" spans="1:27" ht="15.95" customHeight="1" x14ac:dyDescent="0.15">
      <c r="B43" s="71" t="s">
        <v>891</v>
      </c>
      <c r="C43" s="20" t="s">
        <v>4</v>
      </c>
      <c r="D43" s="173">
        <f t="shared" si="0"/>
        <v>84.109947643979055</v>
      </c>
      <c r="E43" s="43" t="s">
        <v>458</v>
      </c>
      <c r="F43" s="178">
        <f>F33/2</f>
        <v>50</v>
      </c>
      <c r="G43" s="364" t="s">
        <v>458</v>
      </c>
      <c r="H43" s="336" t="s">
        <v>407</v>
      </c>
      <c r="I43" s="20" t="s">
        <v>9</v>
      </c>
      <c r="J43" s="108">
        <f>D40/J40</f>
        <v>0.41815771644402761</v>
      </c>
      <c r="K43" s="110"/>
      <c r="L43" s="81"/>
      <c r="M43" s="81"/>
      <c r="N43" s="71" t="s">
        <v>891</v>
      </c>
      <c r="O43" s="23">
        <f t="shared" si="1"/>
        <v>84.109947643979055</v>
      </c>
      <c r="P43" s="43" t="s">
        <v>458</v>
      </c>
      <c r="Q43" s="73" t="s">
        <v>353</v>
      </c>
      <c r="R43" s="158">
        <f>IF($J$19=1, O27,R27)</f>
        <v>2</v>
      </c>
      <c r="S43" s="86" t="s">
        <v>468</v>
      </c>
      <c r="T43" s="90"/>
      <c r="U43" s="44"/>
    </row>
    <row r="44" spans="1:27" ht="15.95" customHeight="1" thickBot="1" x14ac:dyDescent="0.2">
      <c r="B44" s="71" t="s">
        <v>996</v>
      </c>
      <c r="C44" s="20" t="s">
        <v>4</v>
      </c>
      <c r="D44" s="167">
        <f t="shared" si="0"/>
        <v>15413.288888888888</v>
      </c>
      <c r="E44" s="43" t="s">
        <v>470</v>
      </c>
      <c r="F44" s="170">
        <f>F41/F42</f>
        <v>10519.146666666667</v>
      </c>
      <c r="G44" s="166" t="s">
        <v>470</v>
      </c>
      <c r="H44" s="363" t="s">
        <v>408</v>
      </c>
      <c r="I44" s="33" t="s">
        <v>9</v>
      </c>
      <c r="J44" s="569">
        <f>1-J43</f>
        <v>0.58184228355597245</v>
      </c>
      <c r="K44" s="141"/>
      <c r="L44" s="81"/>
      <c r="M44" s="81"/>
      <c r="N44" s="71" t="s">
        <v>195</v>
      </c>
      <c r="O44" s="23">
        <f t="shared" si="1"/>
        <v>15413.288888888888</v>
      </c>
      <c r="P44" s="43" t="s">
        <v>470</v>
      </c>
      <c r="Q44" s="91"/>
      <c r="R44" s="81"/>
      <c r="S44" s="92"/>
      <c r="T44" s="90"/>
      <c r="U44" s="44"/>
    </row>
    <row r="45" spans="1:27" ht="15.95" customHeight="1" thickBot="1" x14ac:dyDescent="0.2">
      <c r="B45" s="87" t="s">
        <v>349</v>
      </c>
      <c r="C45" s="33" t="s">
        <v>4</v>
      </c>
      <c r="D45" s="168">
        <f t="shared" si="0"/>
        <v>1064553.0909090908</v>
      </c>
      <c r="E45" s="88" t="s">
        <v>470</v>
      </c>
      <c r="F45" s="89"/>
      <c r="G45" s="81"/>
      <c r="H45" s="81"/>
      <c r="K45" s="81"/>
      <c r="L45" s="81"/>
      <c r="M45" s="81"/>
      <c r="N45" s="87" t="s">
        <v>349</v>
      </c>
      <c r="O45" s="152">
        <f t="shared" si="1"/>
        <v>1064553.0909090908</v>
      </c>
      <c r="P45" s="153" t="s">
        <v>470</v>
      </c>
      <c r="Q45" s="94"/>
      <c r="R45" s="93"/>
      <c r="S45" s="95"/>
      <c r="T45" s="90"/>
      <c r="U45" s="44"/>
    </row>
    <row r="46" spans="1:27" ht="15.95" customHeight="1" x14ac:dyDescent="0.15">
      <c r="B46" s="708" t="s">
        <v>1000</v>
      </c>
      <c r="C46" s="708"/>
      <c r="D46" s="708"/>
      <c r="E46" s="708"/>
      <c r="F46" s="708"/>
      <c r="G46" s="708"/>
      <c r="H46" s="708"/>
      <c r="I46" s="708"/>
      <c r="J46" s="708"/>
      <c r="K46" s="708"/>
      <c r="L46" s="81"/>
      <c r="M46" s="81"/>
      <c r="N46" s="336"/>
      <c r="O46" s="23"/>
      <c r="P46" s="43"/>
      <c r="S46" s="69"/>
      <c r="T46" s="90"/>
      <c r="U46" s="44"/>
    </row>
    <row r="47" spans="1:27" s="38" customFormat="1" ht="15.95" hidden="1" customHeight="1" x14ac:dyDescent="0.15">
      <c r="A47" s="129"/>
      <c r="B47" s="129" t="s">
        <v>384</v>
      </c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81"/>
      <c r="N47" s="24"/>
      <c r="O47" s="24"/>
      <c r="P47" s="24"/>
      <c r="Q47" s="24"/>
      <c r="R47" s="24"/>
      <c r="S47" s="24"/>
      <c r="T47" s="24"/>
      <c r="U47" s="24"/>
      <c r="W47" s="24"/>
      <c r="Y47" s="24"/>
      <c r="AA47" s="24"/>
    </row>
    <row r="48" spans="1:27" s="12" customFormat="1" ht="15.95" hidden="1" customHeight="1" x14ac:dyDescent="0.15"/>
    <row r="49" spans="1:16" s="12" customFormat="1" ht="15.95" hidden="1" customHeight="1" x14ac:dyDescent="0.15">
      <c r="B49" s="130"/>
      <c r="M49" s="336"/>
      <c r="N49" s="20"/>
      <c r="O49" s="362"/>
      <c r="P49" s="709"/>
    </row>
    <row r="50" spans="1:16" s="12" customFormat="1" ht="15.95" hidden="1" customHeight="1" x14ac:dyDescent="0.15">
      <c r="A50" s="131"/>
      <c r="M50" s="336"/>
      <c r="N50" s="20"/>
      <c r="O50" s="362"/>
      <c r="P50" s="710"/>
    </row>
    <row r="51" spans="1:16" s="12" customFormat="1" ht="15.95" hidden="1" customHeight="1" x14ac:dyDescent="0.15">
      <c r="A51" s="131"/>
    </row>
    <row r="52" spans="1:16" s="12" customFormat="1" ht="15.95" hidden="1" customHeight="1" x14ac:dyDescent="0.15">
      <c r="A52" s="131"/>
    </row>
    <row r="53" spans="1:16" s="12" customFormat="1" ht="15.95" hidden="1" customHeight="1" x14ac:dyDescent="0.15">
      <c r="A53" s="131"/>
    </row>
    <row r="54" spans="1:16" s="12" customFormat="1" ht="15.95" hidden="1" customHeight="1" x14ac:dyDescent="0.15">
      <c r="A54" s="131"/>
      <c r="G54" s="36"/>
    </row>
    <row r="55" spans="1:16" s="12" customFormat="1" ht="15.95" hidden="1" customHeight="1" x14ac:dyDescent="0.15">
      <c r="A55" s="131"/>
      <c r="G55" s="98"/>
    </row>
    <row r="56" spans="1:16" s="12" customFormat="1" ht="15.95" hidden="1" customHeight="1" x14ac:dyDescent="0.15">
      <c r="A56" s="131"/>
      <c r="G56" s="36"/>
    </row>
    <row r="57" spans="1:16" s="12" customFormat="1" ht="15.95" hidden="1" customHeight="1" x14ac:dyDescent="0.15">
      <c r="A57" s="131"/>
      <c r="G57" s="36"/>
    </row>
    <row r="58" spans="1:16" s="12" customFormat="1" ht="15.95" hidden="1" customHeight="1" x14ac:dyDescent="0.15">
      <c r="A58" s="131"/>
      <c r="G58" s="36"/>
      <c r="I58" s="131"/>
    </row>
    <row r="59" spans="1:16" s="12" customFormat="1" ht="15.95" hidden="1" customHeight="1" x14ac:dyDescent="0.15">
      <c r="B59" s="24" t="s">
        <v>91</v>
      </c>
      <c r="G59" s="36"/>
    </row>
    <row r="60" spans="1:16" s="12" customFormat="1" ht="15.95" hidden="1" customHeight="1" x14ac:dyDescent="0.15">
      <c r="G60" s="78"/>
    </row>
    <row r="61" spans="1:16" s="12" customFormat="1" ht="15.95" hidden="1" customHeight="1" x14ac:dyDescent="0.15">
      <c r="B61" s="36" t="s">
        <v>85</v>
      </c>
      <c r="C61" s="20" t="s">
        <v>4</v>
      </c>
      <c r="D61" s="36" t="s">
        <v>86</v>
      </c>
      <c r="E61" s="20" t="s">
        <v>4</v>
      </c>
      <c r="F61" s="36" t="s">
        <v>388</v>
      </c>
      <c r="G61" s="20" t="s">
        <v>9</v>
      </c>
      <c r="H61" s="36" t="s">
        <v>101</v>
      </c>
      <c r="I61" s="36"/>
    </row>
    <row r="62" spans="1:16" s="12" customFormat="1" ht="15.95" hidden="1" customHeight="1" x14ac:dyDescent="0.15">
      <c r="B62" s="36" t="s">
        <v>385</v>
      </c>
      <c r="C62" s="20" t="s">
        <v>4</v>
      </c>
      <c r="D62" s="36" t="s">
        <v>389</v>
      </c>
      <c r="E62" s="20" t="s">
        <v>4</v>
      </c>
      <c r="F62" s="36" t="s">
        <v>388</v>
      </c>
      <c r="G62" s="20" t="s">
        <v>9</v>
      </c>
      <c r="H62" s="36" t="s">
        <v>386</v>
      </c>
      <c r="I62" s="36"/>
    </row>
    <row r="63" spans="1:16" s="12" customFormat="1" ht="15.95" hidden="1" customHeight="1" x14ac:dyDescent="0.15">
      <c r="B63" s="36" t="s">
        <v>65</v>
      </c>
      <c r="C63" s="20" t="s">
        <v>4</v>
      </c>
      <c r="D63" s="36" t="s">
        <v>387</v>
      </c>
      <c r="E63" s="36"/>
      <c r="G63" s="20" t="s">
        <v>9</v>
      </c>
      <c r="H63" s="36" t="s">
        <v>102</v>
      </c>
      <c r="I63" s="36"/>
    </row>
    <row r="64" spans="1:16" s="12" customFormat="1" ht="15.95" hidden="1" customHeight="1" x14ac:dyDescent="0.15">
      <c r="B64" s="78" t="s">
        <v>120</v>
      </c>
      <c r="C64" s="20" t="s">
        <v>4</v>
      </c>
      <c r="D64" s="36" t="s">
        <v>390</v>
      </c>
      <c r="E64" s="36"/>
      <c r="G64" s="20" t="s">
        <v>9</v>
      </c>
      <c r="H64" s="36" t="s">
        <v>103</v>
      </c>
      <c r="I64" s="36"/>
    </row>
    <row r="65" spans="1:16" s="12" customFormat="1" ht="15.95" hidden="1" customHeight="1" x14ac:dyDescent="0.15">
      <c r="H65" s="20"/>
      <c r="I65" s="36"/>
    </row>
    <row r="66" spans="1:16" s="12" customFormat="1" ht="15.95" hidden="1" customHeight="1" x14ac:dyDescent="0.15"/>
    <row r="67" spans="1:16" s="12" customFormat="1" ht="15.95" hidden="1" customHeight="1" x14ac:dyDescent="0.15">
      <c r="A67" s="131"/>
      <c r="B67" s="24" t="s">
        <v>92</v>
      </c>
    </row>
    <row r="68" spans="1:16" s="12" customFormat="1" ht="15.95" hidden="1" customHeight="1" x14ac:dyDescent="0.15"/>
    <row r="69" spans="1:16" s="12" customFormat="1" ht="15.95" hidden="1" customHeight="1" x14ac:dyDescent="0.15">
      <c r="B69" s="136" t="s">
        <v>2</v>
      </c>
      <c r="C69" s="27" t="s">
        <v>4</v>
      </c>
      <c r="D69" s="167">
        <f>D9</f>
        <v>5000</v>
      </c>
      <c r="E69" s="12" t="s">
        <v>458</v>
      </c>
      <c r="G69" s="20" t="s">
        <v>9</v>
      </c>
      <c r="H69" s="36" t="s">
        <v>404</v>
      </c>
      <c r="J69" s="36"/>
      <c r="K69" s="36"/>
    </row>
    <row r="70" spans="1:16" s="12" customFormat="1" ht="15.95" hidden="1" customHeight="1" x14ac:dyDescent="0.15">
      <c r="B70" s="137" t="s">
        <v>3</v>
      </c>
      <c r="C70" s="27" t="s">
        <v>4</v>
      </c>
      <c r="D70" s="167">
        <f>(D7+D8)/2</f>
        <v>1200</v>
      </c>
      <c r="E70" s="12" t="s">
        <v>458</v>
      </c>
      <c r="G70" s="20" t="s">
        <v>9</v>
      </c>
      <c r="H70" s="36" t="s">
        <v>391</v>
      </c>
      <c r="J70" s="20"/>
      <c r="K70" s="36"/>
    </row>
    <row r="71" spans="1:16" s="12" customFormat="1" ht="15.95" hidden="1" customHeight="1" x14ac:dyDescent="0.15">
      <c r="B71" s="137" t="s">
        <v>11</v>
      </c>
      <c r="C71" s="27" t="s">
        <v>4</v>
      </c>
      <c r="D71" s="24">
        <f>ABS(D5*D70/10^3)</f>
        <v>0.18381440000000004</v>
      </c>
      <c r="E71" s="24" t="s">
        <v>477</v>
      </c>
      <c r="F71" s="130"/>
      <c r="G71" s="20" t="s">
        <v>9</v>
      </c>
      <c r="H71" s="36" t="s">
        <v>382</v>
      </c>
      <c r="J71" s="20"/>
      <c r="K71" s="36"/>
    </row>
    <row r="72" spans="1:16" s="12" customFormat="1" ht="15.95" hidden="1" customHeight="1" x14ac:dyDescent="0.15">
      <c r="B72" s="137" t="s">
        <v>5</v>
      </c>
      <c r="C72" s="27" t="s">
        <v>4</v>
      </c>
      <c r="D72" s="167">
        <f>D6</f>
        <v>69637.021649999995</v>
      </c>
      <c r="E72" s="43" t="s">
        <v>457</v>
      </c>
      <c r="G72" s="20" t="s">
        <v>9</v>
      </c>
      <c r="H72" s="36" t="s">
        <v>95</v>
      </c>
      <c r="J72" s="20"/>
      <c r="K72" s="36"/>
    </row>
    <row r="73" spans="1:16" s="12" customFormat="1" ht="15.95" hidden="1" customHeight="1" x14ac:dyDescent="0.15">
      <c r="B73" s="22" t="s">
        <v>999</v>
      </c>
      <c r="C73" s="27" t="s">
        <v>4</v>
      </c>
      <c r="D73" s="167">
        <f>J41</f>
        <v>1251334.6666666665</v>
      </c>
      <c r="E73" s="12" t="s">
        <v>475</v>
      </c>
      <c r="G73" s="20" t="s">
        <v>9</v>
      </c>
      <c r="H73" s="36" t="s">
        <v>406</v>
      </c>
      <c r="J73" s="20"/>
      <c r="K73" s="36"/>
    </row>
    <row r="74" spans="1:16" s="12" customFormat="1" ht="15.95" hidden="1" customHeight="1" x14ac:dyDescent="0.15">
      <c r="J74" s="20"/>
      <c r="K74" s="36"/>
    </row>
    <row r="75" spans="1:16" s="12" customFormat="1" ht="15.95" hidden="1" customHeight="1" x14ac:dyDescent="0.15">
      <c r="A75" s="25"/>
      <c r="B75" s="24" t="s">
        <v>104</v>
      </c>
      <c r="J75" s="20"/>
      <c r="K75" s="36"/>
    </row>
    <row r="76" spans="1:16" s="12" customFormat="1" ht="15.95" hidden="1" customHeight="1" x14ac:dyDescent="0.15">
      <c r="J76" s="20"/>
      <c r="K76" s="36"/>
      <c r="L76" s="133"/>
    </row>
    <row r="77" spans="1:16" s="12" customFormat="1" ht="15.95" hidden="1" customHeight="1" x14ac:dyDescent="0.15">
      <c r="A77" s="12" t="s">
        <v>1</v>
      </c>
      <c r="B77" s="36" t="s">
        <v>85</v>
      </c>
      <c r="C77" s="27" t="s">
        <v>4</v>
      </c>
      <c r="D77" s="36" t="s">
        <v>388</v>
      </c>
      <c r="G77" s="36"/>
      <c r="K77" s="36"/>
      <c r="M77" s="131"/>
    </row>
    <row r="78" spans="1:16" s="12" customFormat="1" ht="15.95" hidden="1" customHeight="1" x14ac:dyDescent="0.15">
      <c r="B78" s="130"/>
      <c r="C78" s="27" t="s">
        <v>4</v>
      </c>
      <c r="D78" s="172">
        <f>D71*D69/2</f>
        <v>459.53600000000012</v>
      </c>
      <c r="E78" s="24" t="s">
        <v>476</v>
      </c>
      <c r="G78" s="36"/>
      <c r="K78" s="36"/>
    </row>
    <row r="79" spans="1:16" s="12" customFormat="1" ht="15.95" hidden="1" customHeight="1" x14ac:dyDescent="0.15">
      <c r="B79" s="131"/>
      <c r="C79" s="134"/>
      <c r="D79" s="132"/>
      <c r="G79" s="36"/>
      <c r="K79" s="36"/>
    </row>
    <row r="80" spans="1:16" s="12" customFormat="1" ht="15.95" hidden="1" customHeight="1" x14ac:dyDescent="0.15">
      <c r="B80" s="36" t="s">
        <v>385</v>
      </c>
      <c r="C80" s="27" t="s">
        <v>4</v>
      </c>
      <c r="D80" s="36" t="s">
        <v>388</v>
      </c>
      <c r="G80" s="78"/>
      <c r="K80" s="36"/>
      <c r="O80" s="172"/>
      <c r="P80" s="43"/>
    </row>
    <row r="81" spans="1:26" s="12" customFormat="1" ht="15.95" hidden="1" customHeight="1" x14ac:dyDescent="0.15">
      <c r="B81" s="135"/>
      <c r="C81" s="27" t="s">
        <v>4</v>
      </c>
      <c r="D81" s="172">
        <f>D71*D69/2</f>
        <v>459.53600000000012</v>
      </c>
      <c r="E81" s="24" t="s">
        <v>476</v>
      </c>
      <c r="K81" s="36"/>
      <c r="O81" s="333"/>
      <c r="P81" s="709"/>
    </row>
    <row r="82" spans="1:26" s="12" customFormat="1" ht="15.95" hidden="1" customHeight="1" x14ac:dyDescent="0.15">
      <c r="B82" s="135"/>
      <c r="C82" s="134"/>
      <c r="D82" s="30"/>
      <c r="K82" s="36"/>
      <c r="O82" s="333"/>
      <c r="P82" s="710"/>
    </row>
    <row r="83" spans="1:26" s="12" customFormat="1" ht="15.95" hidden="1" customHeight="1" x14ac:dyDescent="0.15">
      <c r="B83" s="36" t="s">
        <v>65</v>
      </c>
      <c r="C83" s="27" t="s">
        <v>4</v>
      </c>
      <c r="D83" s="36" t="s">
        <v>1131</v>
      </c>
      <c r="F83" s="36"/>
      <c r="K83" s="36"/>
    </row>
    <row r="84" spans="1:26" s="12" customFormat="1" ht="15.95" hidden="1" customHeight="1" x14ac:dyDescent="0.15">
      <c r="C84" s="27" t="s">
        <v>4</v>
      </c>
      <c r="D84" s="172">
        <f>0.7*D71*D69^2/8</f>
        <v>402094.00000000006</v>
      </c>
      <c r="E84" s="43" t="s">
        <v>497</v>
      </c>
      <c r="F84" s="36"/>
      <c r="K84" s="36"/>
      <c r="O84" s="172"/>
      <c r="P84" s="43"/>
    </row>
    <row r="85" spans="1:26" s="12" customFormat="1" ht="15.95" hidden="1" customHeight="1" x14ac:dyDescent="0.15">
      <c r="B85" s="135"/>
      <c r="C85" s="134"/>
      <c r="D85" s="30"/>
      <c r="K85" s="36"/>
      <c r="O85" s="334"/>
    </row>
    <row r="86" spans="1:26" s="12" customFormat="1" ht="15.95" hidden="1" customHeight="1" x14ac:dyDescent="0.15">
      <c r="B86" s="78" t="s">
        <v>120</v>
      </c>
      <c r="C86" s="27" t="s">
        <v>4</v>
      </c>
      <c r="D86" s="36" t="s">
        <v>1130</v>
      </c>
      <c r="K86" s="36"/>
    </row>
    <row r="87" spans="1:26" s="12" customFormat="1" ht="15.95" hidden="1" customHeight="1" x14ac:dyDescent="0.15">
      <c r="B87" s="135"/>
      <c r="C87" s="27" t="s">
        <v>4</v>
      </c>
      <c r="D87" s="79">
        <f>0.7*(5*D71*D69^4)/(384*D72*D73)</f>
        <v>12.016630403508241</v>
      </c>
      <c r="E87" s="24" t="s">
        <v>458</v>
      </c>
      <c r="K87" s="36"/>
      <c r="O87" s="332"/>
      <c r="P87" s="43"/>
    </row>
    <row r="88" spans="1:26" s="12" customFormat="1" ht="15.95" hidden="1" customHeight="1" x14ac:dyDescent="0.15">
      <c r="A88" s="24"/>
      <c r="B88" s="127"/>
      <c r="C88" s="20"/>
      <c r="D88" s="127"/>
      <c r="E88" s="24"/>
      <c r="F88" s="24"/>
      <c r="G88" s="24"/>
      <c r="H88" s="43"/>
      <c r="I88" s="24"/>
      <c r="J88" s="24"/>
      <c r="K88" s="36"/>
      <c r="L88" s="24"/>
      <c r="O88" s="334"/>
    </row>
    <row r="89" spans="1:26" ht="15.95" hidden="1" customHeight="1" x14ac:dyDescent="0.15">
      <c r="C89" s="20"/>
      <c r="D89" s="30"/>
      <c r="E89" s="43"/>
      <c r="K89" s="36"/>
      <c r="V89" s="24"/>
      <c r="X89" s="24"/>
      <c r="Z89" s="24"/>
    </row>
    <row r="90" spans="1:26" ht="15.95" hidden="1" customHeight="1" x14ac:dyDescent="0.15">
      <c r="B90" s="128"/>
      <c r="C90" s="20"/>
      <c r="D90" s="127"/>
      <c r="H90" s="43"/>
      <c r="J90" s="43"/>
      <c r="K90" s="36"/>
      <c r="V90" s="24"/>
      <c r="X90" s="24"/>
      <c r="Z90" s="24"/>
    </row>
    <row r="91" spans="1:26" ht="15.95" hidden="1" customHeight="1" x14ac:dyDescent="0.15">
      <c r="B91" s="68"/>
      <c r="C91" s="20"/>
      <c r="D91" s="34"/>
      <c r="E91" s="43"/>
      <c r="K91" s="36"/>
      <c r="V91" s="24"/>
      <c r="X91" s="24"/>
      <c r="Z91" s="24"/>
    </row>
    <row r="92" spans="1:26" ht="15.95" hidden="1" customHeight="1" x14ac:dyDescent="0.15">
      <c r="B92" s="68"/>
      <c r="C92" s="20"/>
      <c r="K92" s="36"/>
      <c r="V92" s="24"/>
      <c r="X92" s="24"/>
      <c r="Z92" s="24"/>
    </row>
    <row r="93" spans="1:26" ht="15.95" hidden="1" customHeight="1" x14ac:dyDescent="0.15">
      <c r="A93" s="43"/>
      <c r="B93" s="77" t="s">
        <v>144</v>
      </c>
      <c r="C93" s="43"/>
      <c r="D93" s="43"/>
      <c r="E93" s="43"/>
      <c r="F93" s="43"/>
      <c r="G93" s="43"/>
      <c r="H93" s="43"/>
      <c r="I93" s="43"/>
      <c r="J93" s="43"/>
      <c r="K93" s="43"/>
      <c r="L93" s="43"/>
      <c r="V93" s="24"/>
      <c r="X93" s="24"/>
      <c r="Z93" s="24"/>
    </row>
    <row r="94" spans="1:26" ht="15.95" hidden="1" customHeight="1" x14ac:dyDescent="0.15">
      <c r="A94" s="47"/>
      <c r="B94" s="47"/>
      <c r="C94" s="47"/>
      <c r="D94" s="47"/>
      <c r="E94" s="47"/>
      <c r="F94" s="47"/>
      <c r="G94" s="47"/>
      <c r="H94" s="47"/>
      <c r="I94" s="47"/>
      <c r="J94" s="48"/>
      <c r="K94" s="37"/>
      <c r="L94" s="48"/>
      <c r="N94" s="45" t="s">
        <v>355</v>
      </c>
      <c r="O94" s="361">
        <f>G6</f>
        <v>5</v>
      </c>
      <c r="P94" s="46"/>
    </row>
    <row r="95" spans="1:26" s="47" customFormat="1" ht="15.95" hidden="1" customHeight="1" x14ac:dyDescent="0.15">
      <c r="A95" s="24"/>
      <c r="B95" s="49" t="s">
        <v>289</v>
      </c>
      <c r="C95" s="49"/>
      <c r="G95" s="50" t="s">
        <v>290</v>
      </c>
      <c r="H95" s="101"/>
      <c r="I95" s="43"/>
      <c r="J95" s="102"/>
      <c r="K95" s="51"/>
      <c r="L95" s="24"/>
      <c r="M95" s="48"/>
      <c r="N95" s="37"/>
      <c r="O95" s="37"/>
      <c r="P95" s="37"/>
      <c r="V95" s="52"/>
      <c r="X95" s="52"/>
      <c r="Z95" s="52"/>
    </row>
    <row r="96" spans="1:26" s="47" customFormat="1" ht="15.95" hidden="1" customHeight="1" x14ac:dyDescent="0.15">
      <c r="A96" s="24"/>
      <c r="B96" s="49"/>
      <c r="C96" s="24"/>
      <c r="D96" s="24"/>
      <c r="E96" s="24"/>
      <c r="G96" s="37"/>
      <c r="I96" s="24"/>
      <c r="J96" s="49"/>
      <c r="K96" s="38"/>
      <c r="L96" s="24"/>
      <c r="M96" s="24"/>
      <c r="N96" s="52" t="s">
        <v>291</v>
      </c>
      <c r="O96" s="360">
        <v>14</v>
      </c>
      <c r="P96" s="24"/>
      <c r="S96" s="24"/>
      <c r="V96" s="52"/>
      <c r="X96" s="52"/>
      <c r="Z96" s="52"/>
    </row>
    <row r="97" spans="1:26" s="47" customFormat="1" ht="15.95" hidden="1" customHeight="1" x14ac:dyDescent="0.15">
      <c r="A97" s="24"/>
      <c r="B97" s="36" t="s">
        <v>344</v>
      </c>
      <c r="C97" s="20" t="s">
        <v>4</v>
      </c>
      <c r="D97" s="176">
        <f>D10</f>
        <v>2600</v>
      </c>
      <c r="E97" s="29" t="s">
        <v>479</v>
      </c>
      <c r="F97" s="24"/>
      <c r="G97" s="36" t="s">
        <v>294</v>
      </c>
      <c r="H97" s="20" t="s">
        <v>295</v>
      </c>
      <c r="I97" s="155">
        <f>2*D97*D99/(SQRT(D98*D100))</f>
        <v>60.087764625503318</v>
      </c>
      <c r="K97" s="38"/>
      <c r="L97" s="24"/>
      <c r="M97" s="38" t="s">
        <v>292</v>
      </c>
      <c r="N97" s="103">
        <v>5</v>
      </c>
      <c r="O97" s="103">
        <v>6</v>
      </c>
      <c r="Q97" s="702" t="s">
        <v>293</v>
      </c>
      <c r="R97" s="703"/>
      <c r="S97" s="704" t="s">
        <v>328</v>
      </c>
      <c r="T97" s="705"/>
      <c r="U97" s="706"/>
      <c r="V97" s="52"/>
      <c r="X97" s="52"/>
      <c r="Z97" s="52"/>
    </row>
    <row r="98" spans="1:26" s="47" customFormat="1" ht="15.95" hidden="1" customHeight="1" x14ac:dyDescent="0.15">
      <c r="A98" s="24"/>
      <c r="B98" s="36" t="s">
        <v>995</v>
      </c>
      <c r="C98" s="20" t="s">
        <v>4</v>
      </c>
      <c r="D98" s="176">
        <f>D40</f>
        <v>1671313.4310645724</v>
      </c>
      <c r="E98" s="29" t="s">
        <v>475</v>
      </c>
      <c r="F98" s="24"/>
      <c r="G98" s="57" t="s">
        <v>300</v>
      </c>
      <c r="H98" s="38"/>
      <c r="I98" s="38"/>
      <c r="J98" s="52"/>
      <c r="K98" s="38"/>
      <c r="L98" s="24"/>
      <c r="M98" s="24"/>
      <c r="N98" s="53">
        <v>0</v>
      </c>
      <c r="O98" s="53">
        <v>0</v>
      </c>
      <c r="P98" s="37" t="s">
        <v>296</v>
      </c>
      <c r="Q98" s="54" t="s">
        <v>297</v>
      </c>
      <c r="R98" s="55" t="s">
        <v>298</v>
      </c>
      <c r="S98" s="55">
        <v>1</v>
      </c>
      <c r="T98" s="56">
        <f>IF(O94=5, N98, O98)</f>
        <v>0</v>
      </c>
      <c r="U98" s="55" t="str">
        <f>P98</f>
        <v>S  ≤  S₁</v>
      </c>
      <c r="V98" s="52"/>
      <c r="X98" s="52"/>
      <c r="Z98" s="52"/>
    </row>
    <row r="99" spans="1:26" s="47" customFormat="1" ht="15.95" hidden="1" customHeight="1" x14ac:dyDescent="0.15">
      <c r="B99" s="36" t="s">
        <v>996</v>
      </c>
      <c r="C99" s="20" t="s">
        <v>4</v>
      </c>
      <c r="D99" s="176">
        <f>D44</f>
        <v>15413.288888888888</v>
      </c>
      <c r="E99" s="29" t="s">
        <v>471</v>
      </c>
      <c r="G99" s="36" t="str">
        <f>U102</f>
        <v>S₁&lt;  S  &lt; S₂</v>
      </c>
      <c r="J99" s="24"/>
      <c r="K99" s="38"/>
      <c r="L99" s="24"/>
      <c r="M99" s="24"/>
      <c r="N99" s="58">
        <v>0</v>
      </c>
      <c r="O99" s="58">
        <v>0</v>
      </c>
      <c r="P99" s="37" t="s">
        <v>301</v>
      </c>
      <c r="Q99" s="59">
        <f>IF(O94=5, N99,O99)</f>
        <v>0</v>
      </c>
      <c r="R99" s="60">
        <f>IF(O94=5,N101,O101)</f>
        <v>3823</v>
      </c>
      <c r="S99" s="62">
        <v>2</v>
      </c>
      <c r="T99" s="61">
        <f>IF(O94=5, N100, O100)</f>
        <v>9.9573859136873004</v>
      </c>
      <c r="U99" s="62" t="str">
        <f>P100</f>
        <v>S₁&lt;  S  &lt; S₂</v>
      </c>
      <c r="V99" s="52"/>
      <c r="X99" s="52"/>
      <c r="Z99" s="52"/>
    </row>
    <row r="100" spans="1:26" s="47" customFormat="1" ht="15.95" hidden="1" customHeight="1" x14ac:dyDescent="0.15">
      <c r="A100" s="24"/>
      <c r="B100" s="36" t="s">
        <v>304</v>
      </c>
      <c r="C100" s="20" t="s">
        <v>4</v>
      </c>
      <c r="D100" s="176">
        <f>D45</f>
        <v>1064553.0909090908</v>
      </c>
      <c r="E100" s="29" t="s">
        <v>475</v>
      </c>
      <c r="F100" s="38"/>
      <c r="H100" s="38"/>
      <c r="I100" s="24"/>
      <c r="J100" s="24"/>
      <c r="K100" s="24"/>
      <c r="L100" s="24"/>
      <c r="M100" s="24"/>
      <c r="N100" s="58">
        <f>10.5-0.07*SQRT(I97)</f>
        <v>9.9573859136873004</v>
      </c>
      <c r="O100" s="58">
        <f>16.7-0.14*SQRT(I97)</f>
        <v>15.6147718273746</v>
      </c>
      <c r="P100" s="37" t="s">
        <v>302</v>
      </c>
      <c r="Q100" s="104" t="s">
        <v>303</v>
      </c>
      <c r="S100" s="60">
        <v>3</v>
      </c>
      <c r="T100" s="63">
        <f>IF(O94=5, N102, O102)</f>
        <v>392.74218548619081</v>
      </c>
      <c r="U100" s="60" t="str">
        <f>P102</f>
        <v>S  ≥  S₂</v>
      </c>
      <c r="V100" s="52"/>
      <c r="X100" s="52"/>
      <c r="Z100" s="52"/>
    </row>
    <row r="101" spans="1:26" s="47" customFormat="1" ht="15.95" hidden="1" customHeight="1" thickBot="1" x14ac:dyDescent="0.2">
      <c r="A101" s="24"/>
      <c r="B101" s="36" t="s">
        <v>308</v>
      </c>
      <c r="C101" s="20" t="s">
        <v>4</v>
      </c>
      <c r="D101" s="24">
        <f>T102</f>
        <v>9.9573859136873004</v>
      </c>
      <c r="E101" s="29" t="s">
        <v>187</v>
      </c>
      <c r="F101" s="38"/>
      <c r="K101" s="24"/>
      <c r="L101" s="24"/>
      <c r="M101" s="24"/>
      <c r="N101" s="58">
        <v>3823</v>
      </c>
      <c r="O101" s="58">
        <v>2400</v>
      </c>
      <c r="P101" s="37" t="s">
        <v>306</v>
      </c>
      <c r="Q101" s="55" t="s">
        <v>307</v>
      </c>
      <c r="V101" s="52"/>
      <c r="X101" s="52"/>
      <c r="Z101" s="52"/>
    </row>
    <row r="102" spans="1:26" s="47" customFormat="1" ht="15.95" hidden="1" customHeight="1" thickBot="1" x14ac:dyDescent="0.2">
      <c r="A102" s="24"/>
      <c r="C102" s="20" t="s">
        <v>4</v>
      </c>
      <c r="D102" s="29">
        <f>D101*6.894757</f>
        <v>68.653756230096917</v>
      </c>
      <c r="E102" s="29" t="s">
        <v>457</v>
      </c>
      <c r="F102" s="38"/>
      <c r="G102" s="38"/>
      <c r="H102" s="38"/>
      <c r="I102" s="24"/>
      <c r="J102" s="24"/>
      <c r="K102" s="24"/>
      <c r="L102" s="24"/>
      <c r="M102" s="24"/>
      <c r="N102" s="64">
        <f>23599/I97</f>
        <v>392.74218548619081</v>
      </c>
      <c r="O102" s="64">
        <f>23599/I97</f>
        <v>392.74218548619081</v>
      </c>
      <c r="P102" s="37" t="s">
        <v>309</v>
      </c>
      <c r="Q102" s="60">
        <f>I97</f>
        <v>60.087764625503318</v>
      </c>
      <c r="S102" s="105">
        <f>IF(Q102&lt;=Q99,1,IF(AND(Q102&gt;Q99,Q102&lt;R99),2,3))</f>
        <v>2</v>
      </c>
      <c r="T102" s="65">
        <f>VLOOKUP(S102, S98:T100, 2, FALSE)</f>
        <v>9.9573859136873004</v>
      </c>
      <c r="U102" s="66" t="str">
        <f>VLOOKUP(S102,S98:U100, 3, FALSE)</f>
        <v>S₁&lt;  S  &lt; S₂</v>
      </c>
      <c r="V102" s="52"/>
      <c r="X102" s="52"/>
      <c r="Z102" s="52"/>
    </row>
    <row r="103" spans="1:26" s="47" customFormat="1" ht="15.95" hidden="1" customHeight="1" x14ac:dyDescent="0.15">
      <c r="A103" s="24"/>
      <c r="C103" s="20"/>
      <c r="D103" s="29"/>
      <c r="E103" s="29"/>
      <c r="F103" s="38"/>
      <c r="G103" s="38"/>
      <c r="H103" s="38"/>
      <c r="I103" s="24"/>
      <c r="J103" s="24"/>
      <c r="K103" s="24"/>
      <c r="L103" s="24"/>
      <c r="M103" s="24"/>
      <c r="V103" s="52"/>
      <c r="X103" s="52"/>
      <c r="Z103" s="52"/>
    </row>
    <row r="104" spans="1:26" s="47" customFormat="1" ht="15.95" hidden="1" customHeight="1" x14ac:dyDescent="0.15">
      <c r="A104" s="24"/>
      <c r="B104" s="49" t="s">
        <v>310</v>
      </c>
      <c r="C104" s="49"/>
      <c r="D104" s="156"/>
      <c r="E104" s="156"/>
      <c r="G104" s="50" t="s">
        <v>311</v>
      </c>
      <c r="H104" s="101"/>
      <c r="I104" s="38"/>
      <c r="J104" s="102"/>
      <c r="K104" s="24"/>
      <c r="L104" s="24"/>
      <c r="M104" s="24"/>
      <c r="V104" s="52"/>
      <c r="X104" s="52"/>
      <c r="Z104" s="52"/>
    </row>
    <row r="105" spans="1:26" s="47" customFormat="1" ht="15.95" hidden="1" customHeight="1" x14ac:dyDescent="0.15">
      <c r="A105" s="24"/>
      <c r="B105" s="49"/>
      <c r="C105" s="49"/>
      <c r="D105" s="156"/>
      <c r="E105" s="156"/>
      <c r="F105" s="49"/>
      <c r="G105" s="49"/>
      <c r="H105" s="49"/>
      <c r="I105" s="24"/>
      <c r="J105" s="49"/>
      <c r="K105" s="24"/>
      <c r="L105" s="24"/>
      <c r="M105" s="24"/>
      <c r="N105" s="52" t="s">
        <v>291</v>
      </c>
      <c r="O105" s="360">
        <v>16</v>
      </c>
      <c r="P105" s="24"/>
      <c r="S105" s="24"/>
      <c r="V105" s="52"/>
      <c r="X105" s="52"/>
      <c r="Z105" s="52"/>
    </row>
    <row r="106" spans="1:26" s="47" customFormat="1" ht="15.95" hidden="1" customHeight="1" x14ac:dyDescent="0.15">
      <c r="A106" s="24"/>
      <c r="B106" s="36" t="s">
        <v>77</v>
      </c>
      <c r="C106" s="20" t="s">
        <v>4</v>
      </c>
      <c r="D106" s="23">
        <f>R41</f>
        <v>116</v>
      </c>
      <c r="E106" s="29" t="s">
        <v>479</v>
      </c>
      <c r="F106" s="24"/>
      <c r="G106" s="36" t="str">
        <f>U111</f>
        <v>S  ≥  S₂</v>
      </c>
      <c r="K106" s="24"/>
      <c r="L106" s="24"/>
      <c r="M106" s="38" t="s">
        <v>292</v>
      </c>
      <c r="N106" s="103">
        <v>5</v>
      </c>
      <c r="O106" s="103">
        <v>6</v>
      </c>
      <c r="Q106" s="702" t="s">
        <v>293</v>
      </c>
      <c r="R106" s="703"/>
      <c r="S106" s="704" t="s">
        <v>328</v>
      </c>
      <c r="T106" s="705"/>
      <c r="U106" s="706"/>
      <c r="V106" s="52"/>
      <c r="X106" s="52"/>
      <c r="Z106" s="52"/>
    </row>
    <row r="107" spans="1:26" s="47" customFormat="1" ht="15.95" hidden="1" customHeight="1" x14ac:dyDescent="0.15">
      <c r="A107" s="24"/>
      <c r="B107" s="36" t="s">
        <v>333</v>
      </c>
      <c r="C107" s="20" t="s">
        <v>4</v>
      </c>
      <c r="D107" s="23">
        <f>R43</f>
        <v>2</v>
      </c>
      <c r="E107" s="29" t="s">
        <v>479</v>
      </c>
      <c r="G107" s="24"/>
      <c r="H107" s="24"/>
      <c r="I107" s="24"/>
      <c r="J107" s="24"/>
      <c r="K107" s="24"/>
      <c r="L107" s="24"/>
      <c r="M107" s="24"/>
      <c r="N107" s="53">
        <v>9.6999999999999993</v>
      </c>
      <c r="O107" s="53">
        <v>15.2</v>
      </c>
      <c r="P107" s="37" t="s">
        <v>296</v>
      </c>
      <c r="Q107" s="54" t="s">
        <v>297</v>
      </c>
      <c r="R107" s="55" t="s">
        <v>298</v>
      </c>
      <c r="S107" s="55">
        <v>1</v>
      </c>
      <c r="T107" s="56">
        <f>IF(O94=5, N107, O107)</f>
        <v>9.6999999999999993</v>
      </c>
      <c r="U107" s="55" t="str">
        <f>P107</f>
        <v>S  ≤  S₁</v>
      </c>
      <c r="V107" s="52"/>
      <c r="X107" s="52"/>
      <c r="Z107" s="52"/>
    </row>
    <row r="108" spans="1:26" s="47" customFormat="1" ht="15.95" hidden="1" customHeight="1" x14ac:dyDescent="0.15">
      <c r="A108" s="24"/>
      <c r="B108" s="36" t="s">
        <v>356</v>
      </c>
      <c r="C108" s="20" t="s">
        <v>4</v>
      </c>
      <c r="D108" s="23">
        <f>D106/D107</f>
        <v>58</v>
      </c>
      <c r="E108" s="29"/>
      <c r="F108" s="24"/>
      <c r="H108" s="24"/>
      <c r="I108" s="24"/>
      <c r="J108" s="24"/>
      <c r="K108" s="24"/>
      <c r="L108" s="24"/>
      <c r="M108" s="24"/>
      <c r="N108" s="58">
        <v>25.6</v>
      </c>
      <c r="O108" s="58">
        <v>22.8</v>
      </c>
      <c r="P108" s="37" t="s">
        <v>301</v>
      </c>
      <c r="Q108" s="59">
        <f>IF(O94=5, N108,O108)</f>
        <v>25.6</v>
      </c>
      <c r="R108" s="60">
        <f>IF(O94=5,N110,O110)</f>
        <v>50</v>
      </c>
      <c r="S108" s="62">
        <v>2</v>
      </c>
      <c r="T108" s="61">
        <f>IF(O94=5, N109, O109)</f>
        <v>6.9860000000000007</v>
      </c>
      <c r="U108" s="62" t="str">
        <f>P109</f>
        <v>S₁&lt;  S  &lt; S₂</v>
      </c>
      <c r="V108" s="52"/>
      <c r="X108" s="52"/>
      <c r="Z108" s="52"/>
    </row>
    <row r="109" spans="1:26" s="47" customFormat="1" ht="15.95" hidden="1" customHeight="1" x14ac:dyDescent="0.15">
      <c r="A109" s="24"/>
      <c r="B109" s="36" t="s">
        <v>319</v>
      </c>
      <c r="C109" s="20" t="s">
        <v>4</v>
      </c>
      <c r="D109" s="24">
        <f>T111</f>
        <v>6.5862068965517242</v>
      </c>
      <c r="E109" s="29" t="s">
        <v>187</v>
      </c>
      <c r="F109" s="24"/>
      <c r="G109" s="24"/>
      <c r="H109" s="24"/>
      <c r="I109" s="24"/>
      <c r="J109" s="24"/>
      <c r="K109" s="24"/>
      <c r="L109" s="24"/>
      <c r="M109" s="24"/>
      <c r="N109" s="58">
        <f>11.8-0.083*D108</f>
        <v>6.9860000000000007</v>
      </c>
      <c r="O109" s="58">
        <f>19-0.17*(D108)</f>
        <v>9.1399999999999988</v>
      </c>
      <c r="P109" s="37" t="s">
        <v>302</v>
      </c>
      <c r="Q109" s="104" t="s">
        <v>303</v>
      </c>
      <c r="S109" s="60">
        <v>3</v>
      </c>
      <c r="T109" s="63">
        <f>IF(O94=5, N111, O111)</f>
        <v>6.5862068965517242</v>
      </c>
      <c r="U109" s="60" t="str">
        <f>P111</f>
        <v>S  ≥  S₂</v>
      </c>
      <c r="V109" s="52"/>
      <c r="X109" s="52"/>
      <c r="Z109" s="52"/>
    </row>
    <row r="110" spans="1:26" s="47" customFormat="1" ht="15.95" hidden="1" customHeight="1" thickBot="1" x14ac:dyDescent="0.2">
      <c r="A110" s="24"/>
      <c r="B110" s="43"/>
      <c r="C110" s="20" t="s">
        <v>4</v>
      </c>
      <c r="D110" s="29">
        <f>D109*6.894757</f>
        <v>45.410296103448275</v>
      </c>
      <c r="E110" s="29" t="s">
        <v>457</v>
      </c>
      <c r="F110" s="24"/>
      <c r="G110" s="24"/>
      <c r="H110" s="24"/>
      <c r="I110" s="24"/>
      <c r="J110" s="24"/>
      <c r="K110" s="24"/>
      <c r="L110" s="24"/>
      <c r="M110" s="24"/>
      <c r="N110" s="58">
        <v>50</v>
      </c>
      <c r="O110" s="58">
        <v>39</v>
      </c>
      <c r="P110" s="37" t="s">
        <v>306</v>
      </c>
      <c r="Q110" s="55" t="s">
        <v>307</v>
      </c>
      <c r="V110" s="52"/>
      <c r="X110" s="52"/>
      <c r="Z110" s="52"/>
    </row>
    <row r="111" spans="1:26" s="47" customFormat="1" ht="15.95" hidden="1" customHeight="1" thickBot="1" x14ac:dyDescent="0.2">
      <c r="A111" s="24"/>
      <c r="C111" s="20"/>
      <c r="D111" s="29"/>
      <c r="E111" s="29"/>
      <c r="F111" s="38"/>
      <c r="G111" s="38"/>
      <c r="H111" s="38"/>
      <c r="I111" s="24"/>
      <c r="J111" s="24"/>
      <c r="K111" s="24"/>
      <c r="L111" s="24"/>
      <c r="M111" s="24"/>
      <c r="N111" s="64">
        <f>382/D108</f>
        <v>6.5862068965517242</v>
      </c>
      <c r="O111" s="64">
        <f>484/D108</f>
        <v>8.3448275862068968</v>
      </c>
      <c r="P111" s="37" t="s">
        <v>309</v>
      </c>
      <c r="Q111" s="60">
        <f>D108</f>
        <v>58</v>
      </c>
      <c r="S111" s="105">
        <f>IF(Q111&lt;=Q108,1,IF(AND(Q111&gt;Q108,Q111&lt;R108),2,3))</f>
        <v>3</v>
      </c>
      <c r="T111" s="65">
        <f>VLOOKUP(S111, S107:T109, 2, FALSE)</f>
        <v>6.5862068965517242</v>
      </c>
      <c r="U111" s="66" t="str">
        <f>VLOOKUP(S111,S107:U109, 3, FALSE)</f>
        <v>S  ≥  S₂</v>
      </c>
      <c r="V111" s="52"/>
      <c r="X111" s="52"/>
      <c r="Z111" s="52"/>
    </row>
    <row r="112" spans="1:26" s="47" customFormat="1" ht="15.95" hidden="1" customHeight="1" x14ac:dyDescent="0.15">
      <c r="A112" s="24"/>
      <c r="B112" s="49" t="s">
        <v>310</v>
      </c>
      <c r="C112" s="49"/>
      <c r="D112" s="156"/>
      <c r="E112" s="156"/>
      <c r="F112" s="49"/>
      <c r="G112" s="50" t="s">
        <v>324</v>
      </c>
      <c r="H112" s="101"/>
      <c r="I112" s="24"/>
      <c r="J112" s="49"/>
      <c r="K112" s="24"/>
      <c r="L112" s="24"/>
      <c r="M112" s="24"/>
      <c r="V112" s="52"/>
      <c r="X112" s="52"/>
      <c r="Z112" s="52"/>
    </row>
    <row r="113" spans="1:26" s="47" customFormat="1" ht="15.95" hidden="1" customHeight="1" x14ac:dyDescent="0.15">
      <c r="A113" s="24"/>
      <c r="B113" s="49"/>
      <c r="C113" s="49"/>
      <c r="D113" s="156"/>
      <c r="E113" s="156"/>
      <c r="F113" s="49"/>
      <c r="G113" s="49"/>
      <c r="H113" s="49"/>
      <c r="I113" s="24"/>
      <c r="J113" s="49"/>
      <c r="K113" s="24"/>
      <c r="L113" s="24"/>
      <c r="M113" s="24"/>
      <c r="N113" s="52" t="s">
        <v>291</v>
      </c>
      <c r="O113" s="360">
        <v>18</v>
      </c>
      <c r="P113" s="24"/>
      <c r="S113" s="24"/>
      <c r="V113" s="52"/>
      <c r="X113" s="52"/>
      <c r="Z113" s="52"/>
    </row>
    <row r="114" spans="1:26" s="47" customFormat="1" ht="15.95" hidden="1" customHeight="1" x14ac:dyDescent="0.15">
      <c r="A114" s="24"/>
      <c r="B114" s="36" t="s">
        <v>76</v>
      </c>
      <c r="C114" s="20" t="s">
        <v>4</v>
      </c>
      <c r="D114" s="23">
        <f>R40</f>
        <v>56</v>
      </c>
      <c r="E114" s="29" t="s">
        <v>479</v>
      </c>
      <c r="F114" s="24"/>
      <c r="G114" s="36" t="str">
        <f>U119</f>
        <v>S  ≤  S₁</v>
      </c>
      <c r="K114" s="24"/>
      <c r="L114" s="24"/>
      <c r="M114" s="38" t="s">
        <v>292</v>
      </c>
      <c r="N114" s="103">
        <v>5</v>
      </c>
      <c r="O114" s="103">
        <v>6</v>
      </c>
      <c r="Q114" s="702" t="s">
        <v>293</v>
      </c>
      <c r="R114" s="703"/>
      <c r="S114" s="704" t="s">
        <v>328</v>
      </c>
      <c r="T114" s="705"/>
      <c r="U114" s="706"/>
      <c r="V114" s="52"/>
      <c r="X114" s="52"/>
      <c r="Z114" s="52"/>
    </row>
    <row r="115" spans="1:26" s="47" customFormat="1" ht="15.95" hidden="1" customHeight="1" x14ac:dyDescent="0.15">
      <c r="A115" s="24"/>
      <c r="B115" s="36" t="s">
        <v>333</v>
      </c>
      <c r="C115" s="20" t="s">
        <v>4</v>
      </c>
      <c r="D115" s="23">
        <f>R42</f>
        <v>2</v>
      </c>
      <c r="E115" s="29" t="s">
        <v>479</v>
      </c>
      <c r="F115" s="24"/>
      <c r="H115" s="24"/>
      <c r="I115" s="24"/>
      <c r="J115" s="24"/>
      <c r="K115" s="24"/>
      <c r="L115" s="24"/>
      <c r="M115" s="24"/>
      <c r="N115" s="53">
        <v>12.6</v>
      </c>
      <c r="O115" s="53">
        <v>19.7</v>
      </c>
      <c r="P115" s="37" t="s">
        <v>296</v>
      </c>
      <c r="Q115" s="54" t="s">
        <v>297</v>
      </c>
      <c r="R115" s="55" t="s">
        <v>298</v>
      </c>
      <c r="S115" s="55">
        <v>1</v>
      </c>
      <c r="T115" s="56">
        <f>IF(O94=5, N115, O115)</f>
        <v>12.6</v>
      </c>
      <c r="U115" s="55" t="str">
        <f>P115</f>
        <v>S  ≤  S₁</v>
      </c>
      <c r="V115" s="52"/>
      <c r="X115" s="52"/>
      <c r="Z115" s="52"/>
    </row>
    <row r="116" spans="1:26" s="47" customFormat="1" ht="15.95" hidden="1" customHeight="1" x14ac:dyDescent="0.15">
      <c r="A116" s="24"/>
      <c r="B116" s="36" t="s">
        <v>357</v>
      </c>
      <c r="C116" s="20" t="s">
        <v>4</v>
      </c>
      <c r="D116" s="23">
        <f>D114/D115</f>
        <v>28</v>
      </c>
      <c r="E116" s="29"/>
      <c r="F116" s="24"/>
      <c r="H116" s="24"/>
      <c r="I116" s="24"/>
      <c r="J116" s="24"/>
      <c r="K116" s="24"/>
      <c r="L116" s="24"/>
      <c r="M116" s="24"/>
      <c r="N116" s="58">
        <v>61</v>
      </c>
      <c r="O116" s="58">
        <v>54.9</v>
      </c>
      <c r="P116" s="37" t="s">
        <v>301</v>
      </c>
      <c r="Q116" s="59">
        <f>IF(O94=5, N116,O116)</f>
        <v>61</v>
      </c>
      <c r="R116" s="60">
        <f>IF(O94=5,N118,O118)</f>
        <v>115</v>
      </c>
      <c r="S116" s="62">
        <v>2</v>
      </c>
      <c r="T116" s="61">
        <f>IF(O94=5, N117, O117)</f>
        <v>15.028000000000002</v>
      </c>
      <c r="U116" s="62" t="str">
        <f>P117</f>
        <v>S₁&lt;  S  &lt; S₂</v>
      </c>
      <c r="V116" s="52"/>
      <c r="X116" s="52"/>
      <c r="Z116" s="52"/>
    </row>
    <row r="117" spans="1:26" s="47" customFormat="1" ht="15.95" hidden="1" customHeight="1" x14ac:dyDescent="0.15">
      <c r="A117" s="24"/>
      <c r="B117" s="36" t="s">
        <v>335</v>
      </c>
      <c r="C117" s="20" t="s">
        <v>4</v>
      </c>
      <c r="D117" s="24">
        <f>T119</f>
        <v>12.6</v>
      </c>
      <c r="E117" s="29" t="s">
        <v>187</v>
      </c>
      <c r="F117" s="24"/>
      <c r="G117" s="24"/>
      <c r="H117" s="24"/>
      <c r="I117" s="24"/>
      <c r="J117" s="24"/>
      <c r="K117" s="24"/>
      <c r="L117" s="24"/>
      <c r="M117" s="24"/>
      <c r="N117" s="58">
        <f>17.1-0.074*D116</f>
        <v>15.028000000000002</v>
      </c>
      <c r="O117" s="58">
        <f>27.9-0.15*(D116)</f>
        <v>23.7</v>
      </c>
      <c r="P117" s="37" t="s">
        <v>302</v>
      </c>
      <c r="Q117" s="104" t="s">
        <v>303</v>
      </c>
      <c r="S117" s="60">
        <v>3</v>
      </c>
      <c r="T117" s="63">
        <f>IF(O94=5, N119, O119)</f>
        <v>35.214285714285715</v>
      </c>
      <c r="U117" s="60" t="str">
        <f>P119</f>
        <v>S  ≥  S₂</v>
      </c>
      <c r="V117" s="52"/>
      <c r="X117" s="52"/>
      <c r="Z117" s="52"/>
    </row>
    <row r="118" spans="1:26" s="47" customFormat="1" ht="15.95" hidden="1" customHeight="1" thickBot="1" x14ac:dyDescent="0.2">
      <c r="A118" s="24"/>
      <c r="B118" s="38"/>
      <c r="C118" s="20" t="s">
        <v>4</v>
      </c>
      <c r="D118" s="29">
        <f>D117*6.894757</f>
        <v>86.873938199999998</v>
      </c>
      <c r="E118" s="29" t="s">
        <v>457</v>
      </c>
      <c r="F118" s="24"/>
      <c r="G118" s="24"/>
      <c r="H118" s="24"/>
      <c r="I118" s="24"/>
      <c r="J118" s="24"/>
      <c r="K118" s="24"/>
      <c r="L118" s="24"/>
      <c r="M118" s="24"/>
      <c r="N118" s="58">
        <v>115</v>
      </c>
      <c r="O118" s="58">
        <v>93</v>
      </c>
      <c r="P118" s="37" t="s">
        <v>306</v>
      </c>
      <c r="Q118" s="55" t="s">
        <v>307</v>
      </c>
      <c r="V118" s="52"/>
      <c r="X118" s="52"/>
      <c r="Z118" s="52"/>
    </row>
    <row r="119" spans="1:26" s="47" customFormat="1" ht="15.95" hidden="1" customHeight="1" thickBot="1" x14ac:dyDescent="0.2">
      <c r="A119" s="24"/>
      <c r="B119" s="24"/>
      <c r="C119" s="24"/>
      <c r="D119" s="29"/>
      <c r="E119" s="29"/>
      <c r="F119" s="24"/>
      <c r="G119" s="24"/>
      <c r="H119" s="24"/>
      <c r="I119" s="24"/>
      <c r="J119" s="24"/>
      <c r="K119" s="24"/>
      <c r="L119" s="24"/>
      <c r="M119" s="24"/>
      <c r="N119" s="64">
        <f>986/D116</f>
        <v>35.214285714285715</v>
      </c>
      <c r="O119" s="64">
        <f>1298/D116</f>
        <v>46.357142857142854</v>
      </c>
      <c r="P119" s="37" t="s">
        <v>309</v>
      </c>
      <c r="Q119" s="60">
        <f>D116</f>
        <v>28</v>
      </c>
      <c r="S119" s="105">
        <f>IF(Q119&lt;=Q116,1,IF(AND(Q119&gt;Q116,Q119&lt;=R116),2,3))</f>
        <v>1</v>
      </c>
      <c r="T119" s="65">
        <f>VLOOKUP(S119, S115:T117, 2, FALSE)</f>
        <v>12.6</v>
      </c>
      <c r="U119" s="66" t="str">
        <f>VLOOKUP(S119,S115:U117, 3, FALSE)</f>
        <v>S  ≤  S₁</v>
      </c>
      <c r="V119" s="52"/>
      <c r="X119" s="52"/>
      <c r="Z119" s="52"/>
    </row>
    <row r="120" spans="1:26" s="47" customFormat="1" ht="15.95" hidden="1" customHeight="1" x14ac:dyDescent="0.15">
      <c r="A120" s="24"/>
      <c r="B120" s="35" t="s">
        <v>336</v>
      </c>
      <c r="C120" s="24"/>
      <c r="D120" s="29"/>
      <c r="E120" s="19" t="s">
        <v>337</v>
      </c>
      <c r="F120" s="24" t="s">
        <v>338</v>
      </c>
      <c r="G120" s="24"/>
      <c r="H120" s="24"/>
      <c r="I120" s="24"/>
      <c r="J120" s="24"/>
      <c r="K120" s="24"/>
      <c r="L120" s="24"/>
      <c r="M120" s="24"/>
      <c r="N120" s="37"/>
      <c r="V120" s="52"/>
      <c r="X120" s="52"/>
      <c r="Z120" s="52"/>
    </row>
    <row r="121" spans="1:26" s="47" customFormat="1" ht="15.95" hidden="1" customHeight="1" x14ac:dyDescent="0.15">
      <c r="A121" s="24"/>
      <c r="B121" s="35"/>
      <c r="C121" s="24"/>
      <c r="D121" s="29"/>
      <c r="E121" s="29"/>
      <c r="F121" s="24"/>
      <c r="G121" s="24"/>
      <c r="H121" s="24"/>
      <c r="I121" s="24"/>
      <c r="J121" s="24"/>
      <c r="K121" s="24"/>
      <c r="L121" s="24"/>
      <c r="M121" s="24"/>
      <c r="N121" s="37"/>
      <c r="V121" s="52"/>
      <c r="X121" s="52"/>
      <c r="Z121" s="52"/>
    </row>
    <row r="122" spans="1:26" s="47" customFormat="1" ht="15.95" hidden="1" customHeight="1" x14ac:dyDescent="0.15">
      <c r="A122" s="24"/>
      <c r="B122" s="36" t="s">
        <v>135</v>
      </c>
      <c r="C122" s="20" t="s">
        <v>4</v>
      </c>
      <c r="D122" s="695" t="s">
        <v>1129</v>
      </c>
      <c r="E122" s="695"/>
      <c r="F122" s="24"/>
      <c r="G122" s="24"/>
      <c r="H122" s="24"/>
      <c r="I122" s="24"/>
      <c r="J122" s="24"/>
      <c r="K122" s="24"/>
      <c r="L122" s="24"/>
      <c r="M122" s="24"/>
      <c r="N122" s="37"/>
      <c r="V122" s="52"/>
      <c r="X122" s="52"/>
      <c r="Z122" s="52"/>
    </row>
    <row r="123" spans="1:26" s="47" customFormat="1" ht="15.95" hidden="1" customHeight="1" x14ac:dyDescent="0.15">
      <c r="A123" s="24"/>
      <c r="B123" s="38"/>
      <c r="C123" s="20" t="s">
        <v>4</v>
      </c>
      <c r="D123" s="23">
        <f>(D13*J43)/D44</f>
        <v>10.908684710182294</v>
      </c>
      <c r="E123" s="29" t="s">
        <v>457</v>
      </c>
      <c r="F123" s="24"/>
      <c r="G123" s="24"/>
      <c r="H123" s="24"/>
      <c r="I123" s="24"/>
      <c r="J123" s="24"/>
      <c r="K123" s="24"/>
      <c r="L123" s="24"/>
      <c r="M123" s="24"/>
      <c r="N123" s="37"/>
      <c r="V123" s="52"/>
      <c r="X123" s="52"/>
      <c r="Z123" s="52"/>
    </row>
    <row r="124" spans="1:26" s="47" customFormat="1" ht="15.95" hidden="1" customHeight="1" x14ac:dyDescent="0.15">
      <c r="A124" s="24"/>
      <c r="B124" s="36" t="s">
        <v>139</v>
      </c>
      <c r="C124" s="20" t="s">
        <v>4</v>
      </c>
      <c r="D124" s="22" t="s">
        <v>341</v>
      </c>
      <c r="E124" s="157"/>
      <c r="F124" s="36"/>
      <c r="H124" s="24"/>
      <c r="I124" s="24"/>
      <c r="J124" s="24"/>
      <c r="K124" s="24"/>
      <c r="L124" s="24"/>
      <c r="M124" s="24"/>
      <c r="N124" s="37"/>
      <c r="O124" s="37"/>
      <c r="V124" s="52"/>
      <c r="X124" s="52"/>
      <c r="Z124" s="52"/>
    </row>
    <row r="125" spans="1:26" s="47" customFormat="1" ht="15.95" hidden="1" customHeight="1" x14ac:dyDescent="0.15">
      <c r="A125" s="24"/>
      <c r="B125" s="43"/>
      <c r="C125" s="20" t="s">
        <v>4</v>
      </c>
      <c r="D125" s="67">
        <f>MIN(D102,D110,D118)</f>
        <v>45.410296103448275</v>
      </c>
      <c r="E125" s="29" t="s">
        <v>457</v>
      </c>
      <c r="F125" s="24"/>
      <c r="G125" s="38"/>
      <c r="H125" s="43"/>
      <c r="I125" s="38"/>
      <c r="J125" s="24"/>
      <c r="K125" s="24"/>
      <c r="L125" s="24"/>
      <c r="M125" s="24"/>
      <c r="N125" s="37"/>
      <c r="O125" s="37"/>
      <c r="V125" s="52"/>
      <c r="X125" s="52"/>
      <c r="Z125" s="52"/>
    </row>
    <row r="126" spans="1:26" s="47" customFormat="1" ht="15.95" hidden="1" customHeight="1" x14ac:dyDescent="0.15">
      <c r="A126" s="24"/>
      <c r="C126" s="20"/>
      <c r="F126" s="24"/>
      <c r="G126" s="24"/>
      <c r="H126" s="24"/>
      <c r="I126" s="24"/>
      <c r="J126" s="24"/>
      <c r="K126" s="24"/>
      <c r="L126" s="24"/>
      <c r="M126" s="24"/>
      <c r="N126" s="37"/>
      <c r="O126" s="37"/>
      <c r="V126" s="52"/>
      <c r="X126" s="52"/>
      <c r="Z126" s="52"/>
    </row>
    <row r="127" spans="1:26" s="47" customFormat="1" ht="15.95" hidden="1" customHeight="1" x14ac:dyDescent="0.15">
      <c r="A127" s="24"/>
      <c r="B127" s="24"/>
      <c r="C127" s="24"/>
      <c r="D127" s="24"/>
      <c r="E127" s="24"/>
      <c r="F127" s="24"/>
      <c r="G127" s="24"/>
      <c r="H127" s="24"/>
      <c r="I127" s="24"/>
      <c r="J127" s="24"/>
      <c r="K127" s="24"/>
      <c r="L127" s="24"/>
      <c r="M127" s="24"/>
      <c r="N127" s="37"/>
      <c r="O127" s="37"/>
      <c r="V127" s="52"/>
      <c r="X127" s="52"/>
      <c r="Z127" s="52"/>
    </row>
    <row r="128" spans="1:26" ht="15.95" hidden="1" customHeight="1" x14ac:dyDescent="0.15">
      <c r="B128" s="35" t="s">
        <v>142</v>
      </c>
      <c r="N128" s="37"/>
      <c r="O128" s="37"/>
    </row>
    <row r="129" spans="1:26" ht="15.95" hidden="1" customHeight="1" x14ac:dyDescent="0.15">
      <c r="N129" s="37"/>
      <c r="O129" s="37"/>
    </row>
    <row r="130" spans="1:26" ht="15.95" hidden="1" customHeight="1" x14ac:dyDescent="0.15">
      <c r="B130" s="36" t="s">
        <v>358</v>
      </c>
      <c r="C130" s="20" t="s">
        <v>4</v>
      </c>
      <c r="D130" s="38">
        <f>D123/D125</f>
        <v>0.24022491915338851</v>
      </c>
      <c r="E130" s="39" t="str">
        <f>IF(D130&gt;F130,"&gt;","&lt;")</f>
        <v>&lt;</v>
      </c>
      <c r="F130" s="19">
        <v>1</v>
      </c>
      <c r="G130" s="107" t="str">
        <f>IF(D130&lt;F130,"O.K.","N.G.")</f>
        <v>O.K.</v>
      </c>
      <c r="N130" s="37"/>
      <c r="O130" s="37"/>
    </row>
    <row r="131" spans="1:26" ht="15.95" hidden="1" customHeight="1" x14ac:dyDescent="0.15">
      <c r="B131" s="68"/>
      <c r="D131" s="43"/>
      <c r="N131" s="37"/>
      <c r="O131" s="37"/>
    </row>
    <row r="132" spans="1:26" ht="15.95" hidden="1" customHeight="1" x14ac:dyDescent="0.15">
      <c r="A132" s="43"/>
      <c r="B132" s="43"/>
      <c r="C132" s="43"/>
      <c r="D132" s="43"/>
      <c r="E132" s="43"/>
      <c r="F132" s="49"/>
      <c r="G132" s="43"/>
      <c r="H132" s="43"/>
      <c r="I132" s="43"/>
      <c r="J132" s="43"/>
      <c r="K132" s="43"/>
      <c r="L132" s="43"/>
      <c r="N132" s="20"/>
    </row>
    <row r="133" spans="1:26" ht="15.95" hidden="1" customHeight="1" x14ac:dyDescent="0.15">
      <c r="A133" s="43"/>
      <c r="B133" s="43"/>
      <c r="C133" s="43"/>
      <c r="D133" s="43"/>
      <c r="E133" s="43"/>
      <c r="F133" s="43"/>
      <c r="G133" s="43"/>
      <c r="H133" s="43"/>
      <c r="I133" s="43"/>
      <c r="J133" s="43"/>
      <c r="K133" s="43"/>
      <c r="L133" s="43"/>
      <c r="M133" s="43"/>
      <c r="N133" s="20"/>
    </row>
    <row r="134" spans="1:26" ht="15.95" hidden="1" customHeight="1" x14ac:dyDescent="0.15">
      <c r="A134" s="43"/>
      <c r="B134" s="43"/>
      <c r="C134" s="43"/>
      <c r="D134" s="43"/>
      <c r="E134" s="43"/>
      <c r="F134" s="43"/>
      <c r="G134" s="43"/>
      <c r="H134" s="43"/>
      <c r="I134" s="43"/>
      <c r="J134" s="43"/>
      <c r="K134" s="43"/>
      <c r="L134" s="43"/>
      <c r="M134" s="43"/>
      <c r="N134" s="20"/>
    </row>
    <row r="135" spans="1:26" ht="15.95" hidden="1" customHeight="1" x14ac:dyDescent="0.15">
      <c r="B135" s="49"/>
      <c r="D135" s="43"/>
      <c r="M135" s="43"/>
      <c r="N135" s="20"/>
    </row>
    <row r="136" spans="1:26" ht="15.95" hidden="1" customHeight="1" x14ac:dyDescent="0.15">
      <c r="B136" s="49"/>
      <c r="D136" s="43"/>
    </row>
    <row r="137" spans="1:26" ht="15.95" hidden="1" customHeight="1" x14ac:dyDescent="0.15">
      <c r="B137" s="49"/>
      <c r="D137" s="43"/>
    </row>
    <row r="138" spans="1:26" ht="15.95" hidden="1" customHeight="1" x14ac:dyDescent="0.15">
      <c r="B138" s="49"/>
      <c r="D138" s="43"/>
    </row>
    <row r="139" spans="1:26" ht="15.95" hidden="1" customHeight="1" x14ac:dyDescent="0.15">
      <c r="B139" s="77" t="s">
        <v>144</v>
      </c>
    </row>
    <row r="140" spans="1:26" ht="15.95" hidden="1" customHeight="1" x14ac:dyDescent="0.15">
      <c r="B140" s="49"/>
      <c r="D140" s="43"/>
      <c r="V140" s="24"/>
      <c r="X140" s="24"/>
      <c r="Z140" s="24"/>
    </row>
    <row r="141" spans="1:26" ht="15.95" hidden="1" customHeight="1" x14ac:dyDescent="0.15">
      <c r="A141" s="19"/>
      <c r="B141" s="43" t="s">
        <v>409</v>
      </c>
      <c r="C141" s="19"/>
      <c r="D141" s="19"/>
      <c r="E141" s="19"/>
      <c r="F141" s="19"/>
      <c r="G141" s="19"/>
      <c r="H141" s="19"/>
      <c r="I141" s="19"/>
      <c r="J141" s="19"/>
      <c r="K141" s="19"/>
      <c r="L141" s="19"/>
      <c r="V141" s="24"/>
      <c r="X141" s="24"/>
      <c r="Z141" s="24"/>
    </row>
    <row r="142" spans="1:26" s="12" customFormat="1" ht="15.95" hidden="1" customHeight="1" x14ac:dyDescent="0.15">
      <c r="A142" s="24"/>
      <c r="B142" s="77"/>
      <c r="C142" s="24"/>
      <c r="D142" s="38"/>
      <c r="E142" s="24"/>
      <c r="F142" s="24"/>
      <c r="G142" s="24"/>
      <c r="H142" s="24"/>
      <c r="I142" s="24"/>
      <c r="J142" s="24"/>
      <c r="K142" s="24"/>
      <c r="L142" s="24"/>
      <c r="M142" s="19"/>
      <c r="N142" s="37"/>
      <c r="O142" s="37"/>
      <c r="P142" s="46"/>
    </row>
    <row r="143" spans="1:26" ht="15.95" hidden="1" customHeight="1" x14ac:dyDescent="0.15">
      <c r="B143" s="36" t="s">
        <v>410</v>
      </c>
      <c r="C143" s="20" t="s">
        <v>4</v>
      </c>
      <c r="D143" s="172">
        <f>(D13*J44)</f>
        <v>233955.29116415523</v>
      </c>
      <c r="E143" s="43" t="s">
        <v>459</v>
      </c>
      <c r="G143" s="20" t="s">
        <v>9</v>
      </c>
      <c r="H143" s="36" t="s">
        <v>137</v>
      </c>
      <c r="O143" s="118"/>
      <c r="Q143" s="118"/>
      <c r="S143" s="118"/>
      <c r="U143" s="118"/>
      <c r="V143" s="24"/>
      <c r="X143" s="24"/>
      <c r="Z143" s="24"/>
    </row>
    <row r="144" spans="1:26" ht="15.95" hidden="1" customHeight="1" x14ac:dyDescent="0.15">
      <c r="B144" s="35"/>
      <c r="V144" s="24"/>
      <c r="X144" s="24"/>
      <c r="Z144" s="24"/>
    </row>
    <row r="145" spans="2:26" ht="15.95" hidden="1" customHeight="1" x14ac:dyDescent="0.15">
      <c r="B145" s="36" t="s">
        <v>996</v>
      </c>
      <c r="C145" s="20" t="s">
        <v>4</v>
      </c>
      <c r="D145" s="172">
        <f>F44</f>
        <v>10519.146666666667</v>
      </c>
      <c r="E145" s="24" t="s">
        <v>471</v>
      </c>
      <c r="G145" s="20" t="s">
        <v>9</v>
      </c>
      <c r="H145" s="36" t="s">
        <v>138</v>
      </c>
      <c r="V145" s="24"/>
      <c r="X145" s="24"/>
      <c r="Z145" s="24"/>
    </row>
    <row r="146" spans="2:26" ht="15.95" hidden="1" customHeight="1" x14ac:dyDescent="0.15">
      <c r="V146" s="24"/>
      <c r="X146" s="24"/>
      <c r="Z146" s="24"/>
    </row>
    <row r="147" spans="2:26" ht="15.95" hidden="1" customHeight="1" x14ac:dyDescent="0.15">
      <c r="C147" s="20"/>
      <c r="V147" s="24"/>
      <c r="X147" s="24"/>
      <c r="Z147" s="24"/>
    </row>
    <row r="148" spans="2:26" ht="15.95" hidden="1" customHeight="1" x14ac:dyDescent="0.15">
      <c r="B148" s="35" t="s">
        <v>132</v>
      </c>
      <c r="D148" s="28"/>
      <c r="V148" s="24"/>
      <c r="X148" s="24"/>
      <c r="Z148" s="24"/>
    </row>
    <row r="149" spans="2:26" ht="15.95" hidden="1" customHeight="1" x14ac:dyDescent="0.15">
      <c r="V149" s="24"/>
      <c r="X149" s="24"/>
      <c r="Z149" s="24"/>
    </row>
    <row r="150" spans="2:26" ht="15.95" hidden="1" customHeight="1" x14ac:dyDescent="0.15">
      <c r="B150" s="36" t="s">
        <v>411</v>
      </c>
      <c r="C150" s="20" t="s">
        <v>4</v>
      </c>
      <c r="D150" s="36" t="s">
        <v>1129</v>
      </c>
      <c r="V150" s="24"/>
      <c r="X150" s="24"/>
      <c r="Z150" s="24"/>
    </row>
    <row r="151" spans="2:26" ht="15.95" hidden="1" customHeight="1" x14ac:dyDescent="0.15">
      <c r="C151" s="20" t="s">
        <v>4</v>
      </c>
      <c r="D151" s="29">
        <f>(D143/D145)</f>
        <v>22.240900196355142</v>
      </c>
      <c r="E151" s="29" t="s">
        <v>457</v>
      </c>
      <c r="V151" s="24"/>
      <c r="X151" s="24"/>
      <c r="Z151" s="24"/>
    </row>
    <row r="152" spans="2:26" ht="15.95" hidden="1" customHeight="1" x14ac:dyDescent="0.15">
      <c r="V152" s="24"/>
      <c r="X152" s="24"/>
      <c r="Z152" s="24"/>
    </row>
    <row r="153" spans="2:26" ht="15.95" hidden="1" customHeight="1" x14ac:dyDescent="0.15">
      <c r="V153" s="24"/>
      <c r="X153" s="24"/>
      <c r="Z153" s="24"/>
    </row>
    <row r="154" spans="2:26" ht="15.95" hidden="1" customHeight="1" x14ac:dyDescent="0.15">
      <c r="B154" s="35" t="s">
        <v>133</v>
      </c>
      <c r="V154" s="24"/>
      <c r="X154" s="24"/>
      <c r="Z154" s="24"/>
    </row>
    <row r="155" spans="2:26" ht="15.95" hidden="1" customHeight="1" x14ac:dyDescent="0.15">
      <c r="B155" s="35"/>
      <c r="G155" s="20"/>
      <c r="H155" s="36"/>
      <c r="V155" s="24"/>
      <c r="X155" s="24"/>
      <c r="Z155" s="24"/>
    </row>
    <row r="156" spans="2:26" ht="15.95" hidden="1" customHeight="1" x14ac:dyDescent="0.15">
      <c r="B156" s="36" t="s">
        <v>140</v>
      </c>
      <c r="C156" s="20" t="s">
        <v>4</v>
      </c>
      <c r="D156" s="29">
        <v>275</v>
      </c>
      <c r="E156" s="29" t="s">
        <v>457</v>
      </c>
      <c r="G156" s="20" t="s">
        <v>9</v>
      </c>
      <c r="H156" s="36" t="s">
        <v>649</v>
      </c>
      <c r="V156" s="24"/>
      <c r="X156" s="24"/>
      <c r="Z156" s="24"/>
    </row>
    <row r="157" spans="2:26" ht="15.95" hidden="1" customHeight="1" x14ac:dyDescent="0.15">
      <c r="B157" s="36" t="s">
        <v>319</v>
      </c>
      <c r="C157" s="20" t="s">
        <v>4</v>
      </c>
      <c r="D157" s="80" t="s">
        <v>650</v>
      </c>
      <c r="E157" s="36"/>
      <c r="V157" s="24"/>
      <c r="X157" s="24"/>
      <c r="Z157" s="24"/>
    </row>
    <row r="158" spans="2:26" ht="15.95" hidden="1" customHeight="1" x14ac:dyDescent="0.15">
      <c r="B158" s="38"/>
      <c r="C158" s="20" t="s">
        <v>4</v>
      </c>
      <c r="D158" s="29">
        <f>0.66*D156</f>
        <v>181.5</v>
      </c>
      <c r="E158" s="29" t="s">
        <v>457</v>
      </c>
      <c r="V158" s="24"/>
      <c r="X158" s="24"/>
      <c r="Z158" s="24"/>
    </row>
    <row r="159" spans="2:26" ht="15.95" hidden="1" customHeight="1" x14ac:dyDescent="0.15">
      <c r="V159" s="24"/>
      <c r="X159" s="24"/>
      <c r="Z159" s="24"/>
    </row>
    <row r="160" spans="2:26" ht="15.95" hidden="1" customHeight="1" x14ac:dyDescent="0.15">
      <c r="V160" s="24"/>
      <c r="X160" s="24"/>
      <c r="Z160" s="24"/>
    </row>
    <row r="161" spans="2:26" ht="15.95" hidden="1" customHeight="1" x14ac:dyDescent="0.15">
      <c r="B161" s="35" t="s">
        <v>142</v>
      </c>
      <c r="V161" s="24"/>
      <c r="X161" s="24"/>
      <c r="Z161" s="24"/>
    </row>
    <row r="162" spans="2:26" ht="15.95" hidden="1" customHeight="1" x14ac:dyDescent="0.15">
      <c r="B162" s="35"/>
      <c r="V162" s="24"/>
      <c r="X162" s="24"/>
      <c r="Z162" s="24"/>
    </row>
    <row r="163" spans="2:26" ht="15.95" hidden="1" customHeight="1" x14ac:dyDescent="0.15">
      <c r="B163" s="36" t="s">
        <v>143</v>
      </c>
      <c r="C163" s="20" t="s">
        <v>4</v>
      </c>
      <c r="D163" s="38">
        <f>D151/D158</f>
        <v>0.12253939502124045</v>
      </c>
      <c r="E163" s="39" t="str">
        <f>IF(D163&gt;F163,"&gt;","&lt;")</f>
        <v>&lt;</v>
      </c>
      <c r="F163" s="19">
        <v>1</v>
      </c>
      <c r="G163" s="107" t="str">
        <f>IF(D163&lt;F163,"O.K.","N.G.")</f>
        <v>O.K.</v>
      </c>
      <c r="N163" s="20"/>
      <c r="V163" s="24"/>
      <c r="X163" s="24"/>
      <c r="Z163" s="24"/>
    </row>
    <row r="164" spans="2:26" ht="15.95" hidden="1" customHeight="1" x14ac:dyDescent="0.15">
      <c r="C164" s="119"/>
      <c r="D164" s="28"/>
      <c r="F164" s="28"/>
      <c r="V164" s="24"/>
      <c r="X164" s="24"/>
      <c r="Z164" s="24"/>
    </row>
    <row r="165" spans="2:26" ht="15.95" hidden="1" customHeight="1" x14ac:dyDescent="0.15">
      <c r="C165" s="119"/>
      <c r="D165" s="28"/>
      <c r="F165" s="28"/>
      <c r="V165" s="24"/>
      <c r="X165" s="24"/>
      <c r="Z165" s="24"/>
    </row>
    <row r="166" spans="2:26" ht="15.95" hidden="1" customHeight="1" x14ac:dyDescent="0.15">
      <c r="B166" s="40" t="s">
        <v>145</v>
      </c>
      <c r="V166" s="24"/>
      <c r="X166" s="24"/>
      <c r="Z166" s="24"/>
    </row>
    <row r="167" spans="2:26" ht="15.95" hidden="1" customHeight="1" x14ac:dyDescent="0.15"/>
    <row r="168" spans="2:26" ht="15.95" hidden="1" customHeight="1" x14ac:dyDescent="0.15">
      <c r="B168" s="35" t="s">
        <v>147</v>
      </c>
    </row>
    <row r="169" spans="2:26" ht="15.95" hidden="1" customHeight="1" x14ac:dyDescent="0.15">
      <c r="B169" s="35"/>
    </row>
    <row r="170" spans="2:26" ht="15.95" hidden="1" customHeight="1" x14ac:dyDescent="0.15">
      <c r="B170" s="78" t="s">
        <v>120</v>
      </c>
      <c r="C170" s="20" t="s">
        <v>4</v>
      </c>
      <c r="D170" s="24">
        <f>D15</f>
        <v>12.016630403508241</v>
      </c>
      <c r="E170" s="29" t="s">
        <v>479</v>
      </c>
    </row>
    <row r="171" spans="2:26" ht="15.95" hidden="1" customHeight="1" x14ac:dyDescent="0.15"/>
    <row r="172" spans="2:26" ht="15.95" hidden="1" customHeight="1" x14ac:dyDescent="0.15"/>
    <row r="173" spans="2:26" ht="15.95" hidden="1" customHeight="1" x14ac:dyDescent="0.15">
      <c r="B173" s="35" t="s">
        <v>146</v>
      </c>
      <c r="E173" s="42" t="s">
        <v>150</v>
      </c>
    </row>
    <row r="174" spans="2:26" ht="15.95" hidden="1" customHeight="1" x14ac:dyDescent="0.15">
      <c r="B174" s="35"/>
    </row>
    <row r="175" spans="2:26" ht="15.95" hidden="1" customHeight="1" x14ac:dyDescent="0.15">
      <c r="B175" s="78" t="s">
        <v>2</v>
      </c>
      <c r="C175" s="20" t="s">
        <v>4</v>
      </c>
      <c r="D175" s="167">
        <f>D9</f>
        <v>5000</v>
      </c>
      <c r="E175" s="24" t="str">
        <f>IF(D175&gt;4110,"mm      &gt;     4110 mm","mm     ≤     4110 mm")</f>
        <v>mm      &gt;     4110 mm</v>
      </c>
    </row>
    <row r="176" spans="2:26" ht="15.95" hidden="1" customHeight="1" x14ac:dyDescent="0.15">
      <c r="B176" s="78" t="s">
        <v>148</v>
      </c>
      <c r="C176" s="20" t="s">
        <v>4</v>
      </c>
      <c r="D176" s="177">
        <f>D175</f>
        <v>5000</v>
      </c>
      <c r="E176" s="35" t="str">
        <f>IF(D175&lt;4110,"mm      /     175","mm      /      240 + 6.35 mm ")</f>
        <v xml:space="preserve">mm      /      240 + 6.35 mm </v>
      </c>
      <c r="M176" s="43" t="s">
        <v>151</v>
      </c>
      <c r="N176" s="41">
        <f>D175/240+6.35</f>
        <v>27.18333333333333</v>
      </c>
    </row>
    <row r="177" spans="1:26" ht="15.95" hidden="1" customHeight="1" x14ac:dyDescent="0.15">
      <c r="B177" s="38"/>
      <c r="C177" s="20" t="s">
        <v>4</v>
      </c>
      <c r="D177" s="38">
        <f>IF(D175&gt;4110,N176,N177)</f>
        <v>27.18333333333333</v>
      </c>
      <c r="E177" s="24" t="s">
        <v>468</v>
      </c>
      <c r="M177" s="43" t="s">
        <v>152</v>
      </c>
      <c r="N177" s="41">
        <f>D175/175</f>
        <v>28.571428571428573</v>
      </c>
    </row>
    <row r="178" spans="1:26" ht="15.95" hidden="1" customHeight="1" x14ac:dyDescent="0.15"/>
    <row r="179" spans="1:26" ht="15.95" hidden="1" customHeight="1" x14ac:dyDescent="0.15"/>
    <row r="180" spans="1:26" ht="15.95" hidden="1" customHeight="1" x14ac:dyDescent="0.15">
      <c r="B180" s="35" t="s">
        <v>153</v>
      </c>
    </row>
    <row r="181" spans="1:26" ht="15.95" hidden="1" customHeight="1" x14ac:dyDescent="0.15">
      <c r="A181" s="43"/>
      <c r="B181" s="20"/>
      <c r="C181" s="43"/>
      <c r="D181" s="43"/>
      <c r="E181" s="43"/>
      <c r="F181" s="43"/>
      <c r="G181" s="43"/>
      <c r="H181" s="43"/>
      <c r="I181" s="43"/>
      <c r="J181" s="43"/>
      <c r="K181" s="43"/>
      <c r="L181" s="43"/>
    </row>
    <row r="182" spans="1:26" s="20" customFormat="1" ht="15.95" hidden="1" customHeight="1" x14ac:dyDescent="0.15">
      <c r="A182" s="24"/>
      <c r="B182" s="36" t="s">
        <v>359</v>
      </c>
      <c r="C182" s="20" t="s">
        <v>4</v>
      </c>
      <c r="D182" s="38">
        <f>D170/(D177)</f>
        <v>0.44205875181514076</v>
      </c>
      <c r="E182" s="39" t="str">
        <f>IF(D182&gt;F182,"&gt;","&lt;")</f>
        <v>&lt;</v>
      </c>
      <c r="F182" s="19">
        <v>1</v>
      </c>
      <c r="G182" s="107" t="str">
        <f>IF(D182&lt;F182,"O.K.","N.G.")</f>
        <v>O.K.</v>
      </c>
      <c r="I182" s="43"/>
      <c r="J182" s="43"/>
      <c r="K182" s="43"/>
      <c r="L182" s="43"/>
      <c r="M182" s="43"/>
      <c r="O182" s="24"/>
      <c r="P182" s="24"/>
      <c r="Q182" s="24"/>
      <c r="R182" s="24"/>
      <c r="S182" s="24"/>
      <c r="T182" s="24"/>
      <c r="U182" s="24"/>
      <c r="V182" s="38"/>
      <c r="X182" s="38"/>
      <c r="Z182" s="38"/>
    </row>
    <row r="183" spans="1:26" s="20" customFormat="1" ht="15.95" hidden="1" customHeight="1" x14ac:dyDescent="0.15">
      <c r="A183" s="24"/>
      <c r="B183" s="24"/>
      <c r="C183" s="24"/>
      <c r="D183" s="24"/>
      <c r="E183" s="24"/>
      <c r="F183" s="24"/>
      <c r="G183" s="24"/>
      <c r="H183" s="24"/>
      <c r="I183" s="24"/>
      <c r="J183" s="24"/>
      <c r="K183" s="24"/>
      <c r="L183" s="24"/>
      <c r="M183" s="43"/>
      <c r="O183" s="24"/>
      <c r="P183" s="24"/>
      <c r="Q183" s="24"/>
      <c r="R183" s="24"/>
      <c r="S183" s="24"/>
      <c r="T183" s="24"/>
      <c r="U183" s="24"/>
      <c r="V183" s="38"/>
      <c r="X183" s="38"/>
      <c r="Z183" s="38"/>
    </row>
    <row r="184" spans="1:26" ht="15.95" hidden="1" customHeight="1" x14ac:dyDescent="0.15"/>
    <row r="185" spans="1:26" ht="15.95" hidden="1" customHeight="1" x14ac:dyDescent="0.15"/>
    <row r="186" spans="1:26" ht="15.95" hidden="1" customHeight="1" x14ac:dyDescent="0.15"/>
    <row r="187" spans="1:26" ht="15.95" hidden="1" customHeight="1" x14ac:dyDescent="0.15"/>
    <row r="188" spans="1:26" ht="15.95" hidden="1" customHeight="1" x14ac:dyDescent="0.15"/>
    <row r="189" spans="1:26" ht="15.95" hidden="1" customHeight="1" x14ac:dyDescent="0.15"/>
    <row r="190" spans="1:26" ht="15.95" hidden="1" customHeight="1" x14ac:dyDescent="0.15"/>
  </sheetData>
  <sheetProtection algorithmName="SHA-512" hashValue="A1cIW/zI57MLalw75qSsntPjUywwIjuh1NUZjcWJ+FeX9+zk2czjfeLnafvsSh4er3Z/KcIwfulEAenHx53cyg==" saltValue="otbkp9vviOQiNVHP7Gch6A==" spinCount="100000" sheet="1" objects="1" scenarios="1" selectLockedCells="1"/>
  <protectedRanges>
    <protectedRange sqref="D12" name="범위1_2"/>
    <protectedRange sqref="D11" name="범위1_2_1"/>
    <protectedRange sqref="D7:D10" name="범위1_2_2"/>
  </protectedRanges>
  <mergeCells count="16">
    <mergeCell ref="N8:O8"/>
    <mergeCell ref="N9:O9"/>
    <mergeCell ref="N13:N14"/>
    <mergeCell ref="O13:O14"/>
    <mergeCell ref="O16:O17"/>
    <mergeCell ref="Q16:Q17"/>
    <mergeCell ref="P49:P50"/>
    <mergeCell ref="D122:E122"/>
    <mergeCell ref="P81:P82"/>
    <mergeCell ref="Q97:R97"/>
    <mergeCell ref="B46:K46"/>
    <mergeCell ref="S97:U97"/>
    <mergeCell ref="Q106:R106"/>
    <mergeCell ref="S106:U106"/>
    <mergeCell ref="Q114:R114"/>
    <mergeCell ref="S114:U114"/>
  </mergeCells>
  <phoneticPr fontId="2" type="noConversion"/>
  <pageMargins left="0.51181102362204722" right="0.51181102362204722" top="0.78740157480314965" bottom="0.59055118110236227" header="0.39370078740157483" footer="0.39370078740157483"/>
  <pageSetup paperSize="9" orientation="portrait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37CCEB-F1DC-4D78-B8D4-C541972DB395}">
  <sheetPr codeName="Sheet19">
    <tabColor rgb="FF00B0F0"/>
  </sheetPr>
  <dimension ref="A1:AA251"/>
  <sheetViews>
    <sheetView view="pageBreakPreview" zoomScale="75" zoomScaleNormal="100" zoomScaleSheetLayoutView="75" workbookViewId="0">
      <selection activeCell="G6" sqref="G6"/>
    </sheetView>
  </sheetViews>
  <sheetFormatPr defaultRowHeight="15.95" customHeight="1" x14ac:dyDescent="0.15"/>
  <cols>
    <col min="1" max="1" width="2.77734375" style="24" customWidth="1"/>
    <col min="2" max="2" width="7.33203125" style="24" customWidth="1"/>
    <col min="3" max="3" width="5.33203125" style="24" customWidth="1"/>
    <col min="4" max="4" width="9.33203125" style="24" customWidth="1"/>
    <col min="5" max="5" width="5.33203125" style="24" customWidth="1"/>
    <col min="6" max="6" width="9.33203125" style="24" customWidth="1"/>
    <col min="7" max="8" width="7.33203125" style="24" customWidth="1"/>
    <col min="9" max="9" width="5.88671875" style="24" customWidth="1"/>
    <col min="10" max="10" width="9.33203125" style="24" customWidth="1"/>
    <col min="11" max="11" width="7.33203125" style="24" customWidth="1"/>
    <col min="12" max="12" width="2.77734375" style="24" customWidth="1"/>
    <col min="13" max="14" width="6.77734375" style="24" customWidth="1"/>
    <col min="15" max="15" width="8.77734375" style="24" customWidth="1"/>
    <col min="16" max="16" width="9.77734375" style="24" customWidth="1"/>
    <col min="17" max="17" width="6.77734375" style="24" customWidth="1"/>
    <col min="18" max="18" width="8.77734375" style="24" customWidth="1"/>
    <col min="19" max="20" width="6.77734375" style="24" customWidth="1"/>
    <col min="21" max="21" width="9.77734375" style="24" hidden="1" customWidth="1"/>
    <col min="22" max="22" width="0" style="38" hidden="1" customWidth="1"/>
    <col min="23" max="23" width="5.77734375" style="24" hidden="1" customWidth="1"/>
    <col min="24" max="24" width="5.77734375" style="38" hidden="1" customWidth="1"/>
    <col min="25" max="25" width="5.77734375" style="24" hidden="1" customWidth="1"/>
    <col min="26" max="26" width="5.77734375" style="38" hidden="1" customWidth="1"/>
    <col min="27" max="27" width="5.77734375" style="24" hidden="1" customWidth="1"/>
    <col min="28" max="16384" width="8.88671875" style="24"/>
  </cols>
  <sheetData>
    <row r="1" spans="1:17" ht="15.95" customHeight="1" x14ac:dyDescent="0.15">
      <c r="A1" s="76" t="s">
        <v>188</v>
      </c>
    </row>
    <row r="3" spans="1:17" ht="15.95" customHeight="1" x14ac:dyDescent="0.15">
      <c r="B3" s="77" t="s">
        <v>58</v>
      </c>
    </row>
    <row r="5" spans="1:17" ht="15.95" customHeight="1" x14ac:dyDescent="0.15">
      <c r="B5" s="78" t="s">
        <v>994</v>
      </c>
      <c r="C5" s="20" t="s">
        <v>4</v>
      </c>
      <c r="D5" s="443">
        <f>지진하중!E37</f>
        <v>0.15317866666666669</v>
      </c>
      <c r="E5" s="43" t="s">
        <v>456</v>
      </c>
      <c r="H5" s="36" t="s">
        <v>997</v>
      </c>
      <c r="I5" s="49"/>
      <c r="M5" s="38"/>
      <c r="N5" s="38"/>
      <c r="O5" s="38"/>
      <c r="P5" s="38"/>
      <c r="Q5" s="12"/>
    </row>
    <row r="6" spans="1:17" ht="15.95" customHeight="1" x14ac:dyDescent="0.15">
      <c r="B6" s="78" t="s">
        <v>190</v>
      </c>
      <c r="C6" s="20" t="s">
        <v>4</v>
      </c>
      <c r="D6" s="172">
        <f>710100/100*9.80665</f>
        <v>69637.021649999995</v>
      </c>
      <c r="E6" s="43" t="s">
        <v>457</v>
      </c>
      <c r="F6" s="80" t="s">
        <v>191</v>
      </c>
      <c r="G6" s="561">
        <v>5</v>
      </c>
      <c r="H6" s="36" t="s">
        <v>203</v>
      </c>
      <c r="I6" s="43"/>
      <c r="M6" s="38"/>
      <c r="N6" s="38"/>
      <c r="O6" s="38"/>
      <c r="P6" s="38"/>
    </row>
    <row r="7" spans="1:17" ht="15.95" customHeight="1" x14ac:dyDescent="0.15">
      <c r="B7" s="78" t="s">
        <v>60</v>
      </c>
      <c r="C7" s="20" t="s">
        <v>4</v>
      </c>
      <c r="D7" s="560">
        <v>1200</v>
      </c>
      <c r="E7" s="43" t="s">
        <v>458</v>
      </c>
      <c r="H7" s="36" t="s">
        <v>70</v>
      </c>
      <c r="M7" s="38"/>
      <c r="N7" s="446"/>
      <c r="O7" s="38"/>
      <c r="P7" s="38"/>
    </row>
    <row r="8" spans="1:17" ht="15.95" customHeight="1" x14ac:dyDescent="0.15">
      <c r="B8" s="78" t="s">
        <v>61</v>
      </c>
      <c r="C8" s="20" t="s">
        <v>4</v>
      </c>
      <c r="D8" s="560">
        <v>1200</v>
      </c>
      <c r="E8" s="43" t="s">
        <v>458</v>
      </c>
      <c r="H8" s="36" t="s">
        <v>71</v>
      </c>
      <c r="M8" s="38"/>
      <c r="N8" s="446"/>
      <c r="O8" s="38"/>
      <c r="P8" s="38"/>
    </row>
    <row r="9" spans="1:17" ht="15.95" customHeight="1" x14ac:dyDescent="0.15">
      <c r="B9" s="80" t="s">
        <v>62</v>
      </c>
      <c r="C9" s="20" t="s">
        <v>4</v>
      </c>
      <c r="D9" s="560">
        <v>5000</v>
      </c>
      <c r="E9" s="43" t="s">
        <v>458</v>
      </c>
      <c r="H9" s="36" t="s">
        <v>395</v>
      </c>
      <c r="I9" s="43"/>
      <c r="M9" s="38"/>
      <c r="N9" s="38"/>
      <c r="O9" s="38"/>
      <c r="P9" s="38"/>
    </row>
    <row r="10" spans="1:17" ht="15.95" customHeight="1" x14ac:dyDescent="0.15">
      <c r="B10" s="80" t="s">
        <v>63</v>
      </c>
      <c r="C10" s="20" t="s">
        <v>4</v>
      </c>
      <c r="D10" s="560">
        <v>250</v>
      </c>
      <c r="E10" s="43" t="s">
        <v>458</v>
      </c>
      <c r="H10" s="36" t="s">
        <v>396</v>
      </c>
      <c r="I10" s="43"/>
      <c r="M10" s="38"/>
      <c r="N10" s="38"/>
      <c r="O10" s="38"/>
      <c r="P10" s="38"/>
    </row>
    <row r="11" spans="1:17" ht="15.95" customHeight="1" x14ac:dyDescent="0.15">
      <c r="B11" s="80" t="s">
        <v>64</v>
      </c>
      <c r="C11" s="20" t="s">
        <v>4</v>
      </c>
      <c r="D11" s="176">
        <f>D9-D10</f>
        <v>4750</v>
      </c>
      <c r="E11" s="43" t="s">
        <v>458</v>
      </c>
      <c r="H11" s="36" t="s">
        <v>397</v>
      </c>
      <c r="M11" s="38"/>
      <c r="N11" s="698"/>
      <c r="O11" s="698"/>
      <c r="P11" s="38"/>
    </row>
    <row r="12" spans="1:17" ht="15.95" customHeight="1" x14ac:dyDescent="0.15">
      <c r="B12" s="80" t="s">
        <v>394</v>
      </c>
      <c r="C12" s="20" t="s">
        <v>4</v>
      </c>
      <c r="D12" s="560">
        <v>2600</v>
      </c>
      <c r="E12" s="43" t="s">
        <v>458</v>
      </c>
      <c r="H12" s="36" t="s">
        <v>72</v>
      </c>
      <c r="N12" s="698"/>
      <c r="O12" s="698"/>
    </row>
    <row r="13" spans="1:17" ht="15.95" customHeight="1" x14ac:dyDescent="0.15">
      <c r="M13" s="165"/>
      <c r="N13" s="698"/>
      <c r="O13" s="698"/>
    </row>
    <row r="14" spans="1:17" ht="15.95" customHeight="1" x14ac:dyDescent="0.15">
      <c r="B14" s="36" t="s">
        <v>65</v>
      </c>
      <c r="C14" s="20" t="s">
        <v>4</v>
      </c>
      <c r="D14" s="172">
        <f>(J85-J177)</f>
        <v>324893.90198049421</v>
      </c>
      <c r="E14" s="43" t="s">
        <v>497</v>
      </c>
      <c r="F14" s="36"/>
      <c r="H14" s="162" t="s">
        <v>66</v>
      </c>
      <c r="I14" s="20" t="s">
        <v>4</v>
      </c>
      <c r="J14" s="108">
        <f>D222</f>
        <v>0.46418586104935322</v>
      </c>
      <c r="K14" s="83" t="str">
        <f>IF(J14&lt;1,"O.K","N.G")</f>
        <v>O.K</v>
      </c>
      <c r="M14" s="165"/>
      <c r="N14" s="698"/>
      <c r="O14" s="698"/>
    </row>
    <row r="15" spans="1:17" ht="15.95" customHeight="1" x14ac:dyDescent="0.15">
      <c r="N15" s="698"/>
      <c r="O15" s="698"/>
      <c r="P15" s="175"/>
      <c r="Q15" s="43"/>
    </row>
    <row r="16" spans="1:17" ht="15.95" customHeight="1" x14ac:dyDescent="0.15">
      <c r="B16" s="36" t="s">
        <v>120</v>
      </c>
      <c r="C16" s="20" t="s">
        <v>4</v>
      </c>
      <c r="D16" s="79">
        <f>D91-D183+(D88+D180)/2</f>
        <v>21.326323845919688</v>
      </c>
      <c r="E16" s="43" t="s">
        <v>458</v>
      </c>
      <c r="F16" s="36"/>
      <c r="N16" s="698"/>
      <c r="O16" s="698"/>
      <c r="P16" s="334"/>
      <c r="Q16" s="12"/>
    </row>
    <row r="17" spans="2:26" ht="15.95" customHeight="1" x14ac:dyDescent="0.15">
      <c r="B17" s="36" t="s">
        <v>484</v>
      </c>
      <c r="C17" s="20" t="s">
        <v>4</v>
      </c>
      <c r="D17" s="79">
        <f>D242</f>
        <v>27.18333333333333</v>
      </c>
      <c r="E17" s="43" t="s">
        <v>458</v>
      </c>
      <c r="H17" s="80" t="s">
        <v>68</v>
      </c>
      <c r="I17" s="20" t="s">
        <v>4</v>
      </c>
      <c r="J17" s="108">
        <f>D247</f>
        <v>0.78453674479165014</v>
      </c>
      <c r="K17" s="83" t="str">
        <f>IF(J17&lt;1,"O.K","N.G")</f>
        <v>O.K</v>
      </c>
      <c r="O17" s="12"/>
      <c r="P17" s="332"/>
      <c r="Q17" s="43"/>
    </row>
    <row r="18" spans="2:26" ht="15.95" customHeight="1" x14ac:dyDescent="0.15">
      <c r="O18" s="12"/>
      <c r="P18" s="334"/>
      <c r="Q18" s="12"/>
    </row>
    <row r="19" spans="2:26" ht="15.95" customHeight="1" x14ac:dyDescent="0.15">
      <c r="B19" s="78"/>
      <c r="C19" s="82"/>
      <c r="D19" s="20"/>
    </row>
    <row r="20" spans="2:26" ht="15.95" customHeight="1" x14ac:dyDescent="0.15">
      <c r="B20" s="77" t="s">
        <v>78</v>
      </c>
      <c r="E20" s="49"/>
      <c r="H20" s="77" t="s">
        <v>485</v>
      </c>
      <c r="J20" s="559">
        <v>1</v>
      </c>
      <c r="N20" s="24" t="s">
        <v>474</v>
      </c>
      <c r="Q20" s="20" t="s">
        <v>51</v>
      </c>
    </row>
    <row r="21" spans="2:26" ht="15.95" customHeight="1" thickBot="1" x14ac:dyDescent="0.2">
      <c r="K21" s="81"/>
      <c r="L21" s="81"/>
      <c r="M21" s="81"/>
    </row>
    <row r="22" spans="2:26" ht="15.95" customHeight="1" thickBot="1" x14ac:dyDescent="0.2">
      <c r="B22" s="138"/>
      <c r="C22" s="139"/>
      <c r="D22" s="139"/>
      <c r="E22" s="139"/>
      <c r="F22" s="139"/>
      <c r="G22" s="696"/>
      <c r="H22" s="696"/>
      <c r="I22" s="696"/>
      <c r="J22" s="696"/>
      <c r="K22" s="697"/>
      <c r="N22" s="138" t="s">
        <v>287</v>
      </c>
      <c r="O22" s="139"/>
      <c r="P22" s="139"/>
      <c r="Q22" s="138" t="s">
        <v>288</v>
      </c>
      <c r="R22" s="139"/>
      <c r="S22" s="140"/>
      <c r="U22" s="80" t="s">
        <v>155</v>
      </c>
      <c r="V22" s="24">
        <f>V36*X36</f>
        <v>60</v>
      </c>
      <c r="W22" s="80" t="s">
        <v>156</v>
      </c>
      <c r="X22" s="24">
        <f>X36/2</f>
        <v>15</v>
      </c>
      <c r="Y22" s="80" t="s">
        <v>157</v>
      </c>
      <c r="Z22" s="24">
        <f>V35+X34/2</f>
        <v>30</v>
      </c>
    </row>
    <row r="23" spans="2:26" ht="15.95" customHeight="1" x14ac:dyDescent="0.15">
      <c r="B23" s="91"/>
      <c r="G23" s="698"/>
      <c r="H23" s="698"/>
      <c r="I23" s="698"/>
      <c r="J23" s="698"/>
      <c r="K23" s="699"/>
      <c r="N23" s="84" t="s">
        <v>46</v>
      </c>
      <c r="O23" s="564">
        <v>60</v>
      </c>
      <c r="P23" s="154" t="s">
        <v>468</v>
      </c>
      <c r="Q23" s="84" t="s">
        <v>46</v>
      </c>
      <c r="R23" s="564">
        <v>60</v>
      </c>
      <c r="S23" s="85" t="s">
        <v>468</v>
      </c>
      <c r="U23" s="80" t="s">
        <v>158</v>
      </c>
      <c r="V23" s="24">
        <f>X34*V34</f>
        <v>112</v>
      </c>
      <c r="W23" s="80" t="s">
        <v>159</v>
      </c>
      <c r="X23" s="24">
        <f>X36+V34/2</f>
        <v>31</v>
      </c>
      <c r="Y23" s="80" t="s">
        <v>160</v>
      </c>
      <c r="Z23" s="24">
        <f>V35+X34/2</f>
        <v>30</v>
      </c>
    </row>
    <row r="24" spans="2:26" ht="15.95" customHeight="1" x14ac:dyDescent="0.15">
      <c r="B24" s="91"/>
      <c r="G24" s="698"/>
      <c r="H24" s="698"/>
      <c r="I24" s="698"/>
      <c r="J24" s="698"/>
      <c r="K24" s="699"/>
      <c r="N24" s="71" t="s">
        <v>199</v>
      </c>
      <c r="O24" s="565">
        <v>120</v>
      </c>
      <c r="P24" s="43" t="s">
        <v>468</v>
      </c>
      <c r="Q24" s="71" t="s">
        <v>199</v>
      </c>
      <c r="R24" s="565">
        <v>120</v>
      </c>
      <c r="S24" s="86" t="s">
        <v>468</v>
      </c>
      <c r="U24" s="80" t="s">
        <v>161</v>
      </c>
      <c r="V24" s="24">
        <f>X34*V34</f>
        <v>112</v>
      </c>
      <c r="W24" s="80" t="s">
        <v>162</v>
      </c>
      <c r="X24" s="24">
        <f>X36+(X35-V34)+V34/2</f>
        <v>149</v>
      </c>
      <c r="Y24" s="80" t="s">
        <v>163</v>
      </c>
      <c r="Z24" s="24">
        <f>V35+X34/2</f>
        <v>30</v>
      </c>
    </row>
    <row r="25" spans="2:26" ht="15.95" customHeight="1" x14ac:dyDescent="0.15">
      <c r="B25" s="91"/>
      <c r="G25" s="698"/>
      <c r="H25" s="698"/>
      <c r="I25" s="698"/>
      <c r="J25" s="698"/>
      <c r="K25" s="699"/>
      <c r="N25" s="71" t="s">
        <v>204</v>
      </c>
      <c r="O25" s="565">
        <v>30</v>
      </c>
      <c r="P25" s="43" t="s">
        <v>468</v>
      </c>
      <c r="Q25" s="91"/>
      <c r="R25" s="566"/>
      <c r="S25" s="110"/>
      <c r="U25" s="80" t="s">
        <v>164</v>
      </c>
      <c r="V25" s="24">
        <f>X35*V35</f>
        <v>240</v>
      </c>
      <c r="W25" s="80" t="s">
        <v>165</v>
      </c>
      <c r="X25" s="24">
        <f>X36+X35/2</f>
        <v>90</v>
      </c>
      <c r="Y25" s="80" t="s">
        <v>166</v>
      </c>
      <c r="Z25" s="24">
        <f>V35/2</f>
        <v>1</v>
      </c>
    </row>
    <row r="26" spans="2:26" ht="15.95" customHeight="1" x14ac:dyDescent="0.15">
      <c r="B26" s="91"/>
      <c r="G26" s="698"/>
      <c r="H26" s="698"/>
      <c r="I26" s="698"/>
      <c r="J26" s="698"/>
      <c r="K26" s="699"/>
      <c r="N26" s="71" t="s">
        <v>74</v>
      </c>
      <c r="O26" s="565">
        <v>2</v>
      </c>
      <c r="P26" s="43" t="s">
        <v>468</v>
      </c>
      <c r="Q26" s="71" t="s">
        <v>74</v>
      </c>
      <c r="R26" s="565">
        <v>2</v>
      </c>
      <c r="S26" s="86" t="s">
        <v>468</v>
      </c>
      <c r="U26" s="80" t="s">
        <v>167</v>
      </c>
      <c r="V26" s="24">
        <f>X35*V35</f>
        <v>240</v>
      </c>
      <c r="W26" s="80" t="s">
        <v>168</v>
      </c>
      <c r="X26" s="24">
        <f>X36+X35/2</f>
        <v>90</v>
      </c>
      <c r="Y26" s="80" t="s">
        <v>169</v>
      </c>
      <c r="Z26" s="24">
        <f>V35+X34+V35/2</f>
        <v>59</v>
      </c>
    </row>
    <row r="27" spans="2:26" ht="15.95" customHeight="1" x14ac:dyDescent="0.15">
      <c r="B27" s="91"/>
      <c r="G27" s="698"/>
      <c r="H27" s="698"/>
      <c r="I27" s="698"/>
      <c r="J27" s="698"/>
      <c r="K27" s="699"/>
      <c r="N27" s="71" t="s">
        <v>466</v>
      </c>
      <c r="O27" s="565">
        <v>2</v>
      </c>
      <c r="P27" s="43" t="s">
        <v>468</v>
      </c>
      <c r="Q27" s="71" t="s">
        <v>75</v>
      </c>
      <c r="R27" s="567">
        <v>2</v>
      </c>
      <c r="S27" s="86" t="s">
        <v>468</v>
      </c>
      <c r="U27" s="80"/>
      <c r="V27" s="24"/>
      <c r="W27" s="80"/>
      <c r="X27" s="24"/>
      <c r="Y27" s="80"/>
      <c r="Z27" s="24"/>
    </row>
    <row r="28" spans="2:26" ht="15.95" customHeight="1" thickBot="1" x14ac:dyDescent="0.2">
      <c r="B28" s="91"/>
      <c r="G28" s="698"/>
      <c r="H28" s="698"/>
      <c r="I28" s="698"/>
      <c r="J28" s="698"/>
      <c r="K28" s="699"/>
      <c r="N28" s="71" t="s">
        <v>192</v>
      </c>
      <c r="O28" s="565">
        <v>2</v>
      </c>
      <c r="P28" s="43" t="s">
        <v>468</v>
      </c>
      <c r="Q28" s="91"/>
      <c r="R28" s="566"/>
      <c r="S28" s="110"/>
      <c r="U28" s="80" t="s">
        <v>170</v>
      </c>
      <c r="V28" s="24">
        <f>X22-Z30</f>
        <v>-69.109947643979055</v>
      </c>
      <c r="W28" s="80" t="s">
        <v>171</v>
      </c>
      <c r="X28" s="24">
        <f>Z22-Z31</f>
        <v>0</v>
      </c>
      <c r="Y28" s="80" t="s">
        <v>172</v>
      </c>
      <c r="Z28" s="24">
        <f>V22*X22+V23*X23+V24*X24+V25*X25+V26*X26</f>
        <v>64260</v>
      </c>
    </row>
    <row r="29" spans="2:26" ht="15.95" customHeight="1" x14ac:dyDescent="0.15">
      <c r="B29" s="91"/>
      <c r="G29" s="698"/>
      <c r="H29" s="698"/>
      <c r="I29" s="698"/>
      <c r="J29" s="698"/>
      <c r="K29" s="699"/>
      <c r="N29" s="84" t="s">
        <v>196</v>
      </c>
      <c r="O29" s="151">
        <f>O24+O25</f>
        <v>150</v>
      </c>
      <c r="P29" s="85" t="s">
        <v>458</v>
      </c>
      <c r="Q29" s="91"/>
      <c r="R29" s="566"/>
      <c r="S29" s="110"/>
      <c r="U29" s="80" t="s">
        <v>174</v>
      </c>
      <c r="V29" s="24">
        <f>X23-Z30</f>
        <v>-53.109947643979055</v>
      </c>
      <c r="W29" s="80" t="s">
        <v>175</v>
      </c>
      <c r="X29" s="24">
        <f>Z23-Z31</f>
        <v>0</v>
      </c>
      <c r="Y29" s="80" t="s">
        <v>176</v>
      </c>
      <c r="Z29" s="24">
        <f>V22*Z22+V23*Z23+V24*Z24+V25*Z25+V26*Z26</f>
        <v>22920</v>
      </c>
    </row>
    <row r="30" spans="2:26" ht="15.95" customHeight="1" x14ac:dyDescent="0.15">
      <c r="B30" s="91"/>
      <c r="G30" s="698"/>
      <c r="H30" s="698"/>
      <c r="I30" s="698"/>
      <c r="J30" s="698"/>
      <c r="K30" s="699"/>
      <c r="N30" s="71" t="s">
        <v>77</v>
      </c>
      <c r="O30" s="23">
        <f>O23-2*O27</f>
        <v>56</v>
      </c>
      <c r="P30" s="43" t="s">
        <v>458</v>
      </c>
      <c r="Q30" s="91"/>
      <c r="R30" s="566"/>
      <c r="S30" s="110"/>
      <c r="U30" s="80" t="s">
        <v>177</v>
      </c>
      <c r="V30" s="24">
        <f>X24-Z30</f>
        <v>64.890052356020945</v>
      </c>
      <c r="W30" s="80" t="s">
        <v>178</v>
      </c>
      <c r="X30" s="24">
        <f>Z24-Z31</f>
        <v>0</v>
      </c>
      <c r="Y30" s="80" t="s">
        <v>179</v>
      </c>
      <c r="Z30" s="24">
        <f>Z28/(V22+V23+V24+V25+V26)</f>
        <v>84.109947643979055</v>
      </c>
    </row>
    <row r="31" spans="2:26" ht="15.95" customHeight="1" x14ac:dyDescent="0.15">
      <c r="B31" s="91"/>
      <c r="G31" s="698"/>
      <c r="H31" s="698"/>
      <c r="I31" s="698"/>
      <c r="J31" s="698"/>
      <c r="K31" s="699"/>
      <c r="N31" s="71" t="s">
        <v>193</v>
      </c>
      <c r="O31" s="23">
        <f>Z32</f>
        <v>1671313.4310645724</v>
      </c>
      <c r="P31" s="43" t="s">
        <v>469</v>
      </c>
      <c r="Q31" s="71" t="s">
        <v>193</v>
      </c>
      <c r="R31" s="565">
        <v>3779510</v>
      </c>
      <c r="S31" s="86" t="s">
        <v>469</v>
      </c>
      <c r="U31" s="80" t="s">
        <v>180</v>
      </c>
      <c r="V31" s="24">
        <f>X25-Z30</f>
        <v>5.890052356020945</v>
      </c>
      <c r="W31" s="80" t="s">
        <v>181</v>
      </c>
      <c r="X31" s="24">
        <f>Z25-Z31</f>
        <v>-29</v>
      </c>
      <c r="Y31" s="80" t="s">
        <v>182</v>
      </c>
      <c r="Z31" s="24">
        <f>Z29/(V22+V23+V24+V25+V26)</f>
        <v>30</v>
      </c>
    </row>
    <row r="32" spans="2:26" ht="15.95" customHeight="1" x14ac:dyDescent="0.15">
      <c r="B32" s="91"/>
      <c r="G32" s="698"/>
      <c r="H32" s="698"/>
      <c r="I32" s="698"/>
      <c r="J32" s="698"/>
      <c r="K32" s="699"/>
      <c r="N32" s="71" t="s">
        <v>194</v>
      </c>
      <c r="O32" s="23">
        <f>Z33</f>
        <v>462398.66666666663</v>
      </c>
      <c r="P32" s="43" t="s">
        <v>469</v>
      </c>
      <c r="Q32" s="71" t="s">
        <v>194</v>
      </c>
      <c r="R32" s="565">
        <v>652452</v>
      </c>
      <c r="S32" s="86" t="s">
        <v>469</v>
      </c>
      <c r="U32" s="80" t="s">
        <v>183</v>
      </c>
      <c r="V32" s="24">
        <f>X26-Z30</f>
        <v>5.890052356020945</v>
      </c>
      <c r="W32" s="80" t="s">
        <v>184</v>
      </c>
      <c r="X32" s="24">
        <f>Z26-Z31</f>
        <v>29</v>
      </c>
      <c r="Y32" s="80" t="s">
        <v>185</v>
      </c>
      <c r="Z32" s="24">
        <f>((V36*X36*X36*X36)/12+V22*V28*V28)+((X34*V34*V34*V34)/12+V23*V29*V29)+((X34*V34*V34*V34)/12+V24*V30*V30)+((V35*X35*X35*X35)/12+V25*V31*V31)+((V35*X35*X35*X35)/12+V26*V32*V32)</f>
        <v>1671313.4310645724</v>
      </c>
    </row>
    <row r="33" spans="2:26" ht="15.95" customHeight="1" x14ac:dyDescent="0.15">
      <c r="B33" s="91"/>
      <c r="G33" s="698"/>
      <c r="H33" s="698"/>
      <c r="I33" s="698"/>
      <c r="J33" s="698"/>
      <c r="K33" s="699"/>
      <c r="N33" s="71" t="s">
        <v>890</v>
      </c>
      <c r="O33" s="23">
        <f>Z31</f>
        <v>30</v>
      </c>
      <c r="P33" s="43" t="s">
        <v>458</v>
      </c>
      <c r="Q33" s="71" t="s">
        <v>890</v>
      </c>
      <c r="R33" s="565">
        <v>30</v>
      </c>
      <c r="S33" s="86" t="s">
        <v>468</v>
      </c>
      <c r="U33" s="38"/>
      <c r="V33" s="24"/>
      <c r="W33" s="38"/>
      <c r="X33" s="24"/>
      <c r="Y33" s="80" t="s">
        <v>186</v>
      </c>
      <c r="Z33" s="24">
        <f>((X36*V36*V36*V36)/12+V22*X28*X28)+((V34*X34*X34*X34)/12+V23*X29*X29)+((V34*X34*X34*X34)/12+V24*X30*X30)+((X35*V35*V35*V35)/12+V25*X31*X31)+((X35*V35*V35*V35)/12+V26*X32*X32)</f>
        <v>462398.66666666663</v>
      </c>
    </row>
    <row r="34" spans="2:26" ht="15.95" customHeight="1" x14ac:dyDescent="0.15">
      <c r="B34" s="71" t="s">
        <v>196</v>
      </c>
      <c r="C34" s="20" t="s">
        <v>4</v>
      </c>
      <c r="D34" s="155">
        <f>IF($J$20=1, O29,Q20)</f>
        <v>150</v>
      </c>
      <c r="E34" s="43" t="s">
        <v>468</v>
      </c>
      <c r="F34" s="89"/>
      <c r="G34" s="698"/>
      <c r="H34" s="698"/>
      <c r="I34" s="698"/>
      <c r="J34" s="698"/>
      <c r="K34" s="699"/>
      <c r="N34" s="71" t="s">
        <v>891</v>
      </c>
      <c r="O34" s="23">
        <f>Z30</f>
        <v>84.109947643979055</v>
      </c>
      <c r="P34" s="43" t="s">
        <v>458</v>
      </c>
      <c r="Q34" s="71" t="s">
        <v>891</v>
      </c>
      <c r="R34" s="565">
        <v>95.14</v>
      </c>
      <c r="S34" s="86" t="s">
        <v>468</v>
      </c>
      <c r="U34" s="80" t="s">
        <v>462</v>
      </c>
      <c r="V34" s="24">
        <f>O26</f>
        <v>2</v>
      </c>
      <c r="W34" s="80" t="s">
        <v>77</v>
      </c>
      <c r="X34" s="24">
        <f>O30</f>
        <v>56</v>
      </c>
      <c r="Y34" s="38"/>
      <c r="Z34" s="24"/>
    </row>
    <row r="35" spans="2:26" ht="15.95" customHeight="1" x14ac:dyDescent="0.15">
      <c r="B35" s="71" t="s">
        <v>46</v>
      </c>
      <c r="C35" s="20" t="s">
        <v>4</v>
      </c>
      <c r="D35" s="155">
        <f>IF($J$20=1, O23,Q20)</f>
        <v>60</v>
      </c>
      <c r="E35" s="43" t="s">
        <v>468</v>
      </c>
      <c r="G35" s="698"/>
      <c r="H35" s="698"/>
      <c r="I35" s="698"/>
      <c r="J35" s="698"/>
      <c r="K35" s="699"/>
      <c r="N35" s="71" t="s">
        <v>996</v>
      </c>
      <c r="O35" s="23">
        <f>O32/O33</f>
        <v>15413.288888888888</v>
      </c>
      <c r="P35" s="43" t="s">
        <v>470</v>
      </c>
      <c r="Q35" s="71" t="s">
        <v>996</v>
      </c>
      <c r="R35" s="565">
        <f>R32/R33</f>
        <v>21748.400000000001</v>
      </c>
      <c r="S35" s="86" t="s">
        <v>470</v>
      </c>
      <c r="U35" s="80" t="s">
        <v>461</v>
      </c>
      <c r="V35" s="24">
        <f>O27</f>
        <v>2</v>
      </c>
      <c r="W35" s="80" t="s">
        <v>463</v>
      </c>
      <c r="X35" s="24">
        <f>O24</f>
        <v>120</v>
      </c>
      <c r="Y35" s="38"/>
      <c r="Z35" s="24"/>
    </row>
    <row r="36" spans="2:26" ht="15.95" customHeight="1" thickBot="1" x14ac:dyDescent="0.2">
      <c r="B36" s="71" t="s">
        <v>199</v>
      </c>
      <c r="C36" s="20" t="s">
        <v>4</v>
      </c>
      <c r="D36" s="155">
        <f>IF($J$20=1, O24,Q20)</f>
        <v>120</v>
      </c>
      <c r="E36" s="43" t="s">
        <v>468</v>
      </c>
      <c r="F36" s="89"/>
      <c r="G36" s="698"/>
      <c r="H36" s="698"/>
      <c r="I36" s="698"/>
      <c r="J36" s="698"/>
      <c r="K36" s="699"/>
      <c r="N36" s="87" t="s">
        <v>349</v>
      </c>
      <c r="O36" s="152">
        <f>(2*O27*O26*(O23-O27)^2*(O24-O26)^2)/((O23*O27)+(O24*O26)-O27^2-O26^2)</f>
        <v>1064553.0909090908</v>
      </c>
      <c r="P36" s="153" t="s">
        <v>470</v>
      </c>
      <c r="Q36" s="87" t="s">
        <v>304</v>
      </c>
      <c r="R36" s="152">
        <f>(2*R27*R26*(R23-R27)^2*(R24-R26)^2)/((R23*R27)+(R24*R26)-R27^2-R26^2)</f>
        <v>1064553.0909090908</v>
      </c>
      <c r="S36" s="88" t="s">
        <v>471</v>
      </c>
      <c r="U36" s="80" t="s">
        <v>467</v>
      </c>
      <c r="V36" s="24">
        <f>O28</f>
        <v>2</v>
      </c>
      <c r="W36" s="80" t="s">
        <v>464</v>
      </c>
      <c r="X36" s="24">
        <f>O25</f>
        <v>30</v>
      </c>
      <c r="Y36" s="38"/>
      <c r="Z36" s="24"/>
    </row>
    <row r="37" spans="2:26" ht="15.95" customHeight="1" x14ac:dyDescent="0.15">
      <c r="B37" s="71" t="s">
        <v>518</v>
      </c>
      <c r="C37" s="20" t="s">
        <v>4</v>
      </c>
      <c r="D37" s="155">
        <f>IF($J$20=1, O25,Q20)</f>
        <v>30</v>
      </c>
      <c r="E37" s="43" t="s">
        <v>468</v>
      </c>
      <c r="F37" s="89"/>
      <c r="G37" s="698"/>
      <c r="H37" s="698"/>
      <c r="I37" s="698"/>
      <c r="J37" s="698"/>
      <c r="K37" s="699"/>
    </row>
    <row r="38" spans="2:26" ht="15.95" customHeight="1" x14ac:dyDescent="0.15">
      <c r="B38" s="71" t="s">
        <v>74</v>
      </c>
      <c r="C38" s="20" t="s">
        <v>4</v>
      </c>
      <c r="D38" s="155">
        <f>IF($J$20=1, O26,Q20)</f>
        <v>2</v>
      </c>
      <c r="E38" s="43" t="s">
        <v>468</v>
      </c>
      <c r="F38" s="89"/>
      <c r="G38" s="698"/>
      <c r="H38" s="698"/>
      <c r="I38" s="698"/>
      <c r="J38" s="698"/>
      <c r="K38" s="699"/>
      <c r="N38" s="24" t="s">
        <v>205</v>
      </c>
    </row>
    <row r="39" spans="2:26" ht="15.95" customHeight="1" thickBot="1" x14ac:dyDescent="0.2">
      <c r="B39" s="71" t="s">
        <v>466</v>
      </c>
      <c r="C39" s="20" t="s">
        <v>4</v>
      </c>
      <c r="D39" s="155">
        <f>IF($J$20=1, O27,Q20)</f>
        <v>2</v>
      </c>
      <c r="E39" s="43" t="s">
        <v>468</v>
      </c>
      <c r="G39" s="698"/>
      <c r="H39" s="698"/>
      <c r="I39" s="698"/>
      <c r="J39" s="698"/>
      <c r="K39" s="699"/>
      <c r="L39" s="81"/>
      <c r="M39" s="81"/>
      <c r="N39" s="24" t="s">
        <v>460</v>
      </c>
      <c r="S39" s="69"/>
      <c r="T39" s="70"/>
    </row>
    <row r="40" spans="2:26" ht="15.95" customHeight="1" x14ac:dyDescent="0.15">
      <c r="B40" s="71" t="s">
        <v>192</v>
      </c>
      <c r="C40" s="20" t="s">
        <v>4</v>
      </c>
      <c r="D40" s="155">
        <f>IF($J$20=1, O28,Q20)</f>
        <v>2</v>
      </c>
      <c r="E40" s="43" t="s">
        <v>468</v>
      </c>
      <c r="F40" s="89"/>
      <c r="G40" s="698"/>
      <c r="H40" s="698"/>
      <c r="I40" s="698"/>
      <c r="J40" s="698"/>
      <c r="K40" s="699"/>
      <c r="L40" s="81"/>
      <c r="M40" s="81"/>
      <c r="N40" s="84" t="s">
        <v>193</v>
      </c>
      <c r="O40" s="151">
        <f t="shared" ref="O40:O45" si="0">IF($J$20=1, O31,R31)</f>
        <v>1671313.4310645724</v>
      </c>
      <c r="P40" s="85" t="s">
        <v>469</v>
      </c>
      <c r="Q40" s="72" t="s">
        <v>350</v>
      </c>
      <c r="R40" s="151">
        <f>IF($J$20=1, O30,R23-R27*2)</f>
        <v>56</v>
      </c>
      <c r="S40" s="85" t="s">
        <v>468</v>
      </c>
      <c r="T40" s="44"/>
      <c r="U40" s="44"/>
    </row>
    <row r="41" spans="2:26" ht="15.95" customHeight="1" x14ac:dyDescent="0.15">
      <c r="B41" s="71" t="s">
        <v>361</v>
      </c>
      <c r="C41" s="20" t="s">
        <v>4</v>
      </c>
      <c r="D41" s="167">
        <f>O40</f>
        <v>1671313.4310645724</v>
      </c>
      <c r="E41" s="43" t="s">
        <v>469</v>
      </c>
      <c r="F41" s="89"/>
      <c r="G41" s="698"/>
      <c r="H41" s="698"/>
      <c r="I41" s="698"/>
      <c r="J41" s="698"/>
      <c r="K41" s="699"/>
      <c r="L41" s="81"/>
      <c r="M41" s="81"/>
      <c r="N41" s="71" t="s">
        <v>194</v>
      </c>
      <c r="O41" s="23">
        <f t="shared" si="0"/>
        <v>462398.66666666663</v>
      </c>
      <c r="P41" s="43" t="s">
        <v>469</v>
      </c>
      <c r="Q41" s="73" t="s">
        <v>351</v>
      </c>
      <c r="R41" s="23">
        <f>IF($J$20=1, O24-2*O26,R24-R26*2)</f>
        <v>116</v>
      </c>
      <c r="S41" s="86" t="s">
        <v>468</v>
      </c>
      <c r="U41" s="44"/>
    </row>
    <row r="42" spans="2:26" ht="15.95" customHeight="1" x14ac:dyDescent="0.15">
      <c r="B42" s="71" t="s">
        <v>362</v>
      </c>
      <c r="C42" s="20" t="s">
        <v>4</v>
      </c>
      <c r="D42" s="167">
        <f>O41</f>
        <v>462398.66666666663</v>
      </c>
      <c r="E42" s="43" t="s">
        <v>469</v>
      </c>
      <c r="F42" s="89"/>
      <c r="G42" s="698"/>
      <c r="H42" s="698"/>
      <c r="I42" s="698"/>
      <c r="J42" s="698"/>
      <c r="K42" s="699"/>
      <c r="L42" s="81"/>
      <c r="M42" s="81"/>
      <c r="N42" s="71" t="s">
        <v>890</v>
      </c>
      <c r="O42" s="23">
        <f t="shared" si="0"/>
        <v>30</v>
      </c>
      <c r="P42" s="43" t="s">
        <v>458</v>
      </c>
      <c r="Q42" s="73" t="s">
        <v>352</v>
      </c>
      <c r="R42" s="23">
        <f>IF($J$20=1, O26,R26)</f>
        <v>2</v>
      </c>
      <c r="S42" s="86" t="s">
        <v>468</v>
      </c>
      <c r="T42" s="90"/>
      <c r="U42" s="44"/>
    </row>
    <row r="43" spans="2:26" ht="15.95" customHeight="1" x14ac:dyDescent="0.15">
      <c r="B43" s="71" t="s">
        <v>890</v>
      </c>
      <c r="C43" s="20" t="s">
        <v>4</v>
      </c>
      <c r="D43" s="173">
        <f>O42</f>
        <v>30</v>
      </c>
      <c r="E43" s="43" t="s">
        <v>458</v>
      </c>
      <c r="F43" s="89"/>
      <c r="G43" s="698"/>
      <c r="H43" s="698"/>
      <c r="I43" s="698"/>
      <c r="J43" s="698"/>
      <c r="K43" s="699"/>
      <c r="L43" s="81"/>
      <c r="M43" s="81"/>
      <c r="N43" s="71" t="s">
        <v>891</v>
      </c>
      <c r="O43" s="23">
        <f t="shared" si="0"/>
        <v>84.109947643979055</v>
      </c>
      <c r="P43" s="43" t="s">
        <v>458</v>
      </c>
      <c r="Q43" s="73" t="s">
        <v>353</v>
      </c>
      <c r="R43" s="158">
        <f>IF($J$20=1, O27,R27)</f>
        <v>2</v>
      </c>
      <c r="S43" s="86" t="s">
        <v>468</v>
      </c>
      <c r="T43" s="90"/>
      <c r="U43" s="44"/>
    </row>
    <row r="44" spans="2:26" ht="15.95" customHeight="1" x14ac:dyDescent="0.15">
      <c r="B44" s="71" t="s">
        <v>996</v>
      </c>
      <c r="C44" s="20" t="s">
        <v>4</v>
      </c>
      <c r="D44" s="167">
        <f t="shared" ref="D44:D45" si="1">O44</f>
        <v>15413.288888888888</v>
      </c>
      <c r="E44" s="43" t="s">
        <v>470</v>
      </c>
      <c r="F44" s="89"/>
      <c r="G44" s="698"/>
      <c r="H44" s="698"/>
      <c r="I44" s="698"/>
      <c r="J44" s="698"/>
      <c r="K44" s="699"/>
      <c r="L44" s="81"/>
      <c r="M44" s="81"/>
      <c r="N44" s="71" t="s">
        <v>195</v>
      </c>
      <c r="O44" s="23">
        <f t="shared" si="0"/>
        <v>15413.288888888888</v>
      </c>
      <c r="P44" s="43" t="s">
        <v>470</v>
      </c>
      <c r="Q44" s="91"/>
      <c r="R44" s="81"/>
      <c r="S44" s="92"/>
      <c r="T44" s="90"/>
      <c r="U44" s="44"/>
    </row>
    <row r="45" spans="2:26" ht="15.95" customHeight="1" thickBot="1" x14ac:dyDescent="0.2">
      <c r="B45" s="87" t="s">
        <v>349</v>
      </c>
      <c r="C45" s="33" t="s">
        <v>4</v>
      </c>
      <c r="D45" s="168">
        <f t="shared" si="1"/>
        <v>1064553.0909090908</v>
      </c>
      <c r="E45" s="153" t="s">
        <v>470</v>
      </c>
      <c r="F45" s="163"/>
      <c r="G45" s="700"/>
      <c r="H45" s="700"/>
      <c r="I45" s="700"/>
      <c r="J45" s="700"/>
      <c r="K45" s="701"/>
      <c r="L45" s="81"/>
      <c r="M45" s="81"/>
      <c r="N45" s="87" t="s">
        <v>349</v>
      </c>
      <c r="O45" s="152">
        <f t="shared" si="0"/>
        <v>1064553.0909090908</v>
      </c>
      <c r="P45" s="153" t="s">
        <v>470</v>
      </c>
      <c r="Q45" s="94"/>
      <c r="R45" s="93"/>
      <c r="S45" s="95"/>
      <c r="T45" s="90"/>
      <c r="U45" s="44"/>
    </row>
    <row r="46" spans="2:26" ht="15.95" customHeight="1" x14ac:dyDescent="0.15">
      <c r="B46" s="708" t="s">
        <v>1000</v>
      </c>
      <c r="C46" s="708"/>
      <c r="D46" s="708"/>
      <c r="E46" s="708"/>
      <c r="F46" s="708"/>
      <c r="G46" s="708"/>
      <c r="H46" s="708"/>
      <c r="I46" s="708"/>
      <c r="J46" s="708"/>
      <c r="K46" s="708"/>
      <c r="L46" s="81"/>
      <c r="M46" s="81"/>
    </row>
    <row r="47" spans="2:26" ht="15.95" hidden="1" customHeight="1" x14ac:dyDescent="0.15">
      <c r="B47" s="77" t="s">
        <v>84</v>
      </c>
    </row>
    <row r="48" spans="2:26" ht="15.95" hidden="1" customHeight="1" x14ac:dyDescent="0.15"/>
    <row r="49" spans="1:8" ht="15.95" hidden="1" customHeight="1" x14ac:dyDescent="0.15">
      <c r="B49" s="43" t="s">
        <v>200</v>
      </c>
    </row>
    <row r="50" spans="1:8" ht="15.95" hidden="1" customHeight="1" x14ac:dyDescent="0.15">
      <c r="A50" s="49"/>
    </row>
    <row r="51" spans="1:8" ht="15.95" hidden="1" customHeight="1" x14ac:dyDescent="0.15">
      <c r="A51" s="49"/>
    </row>
    <row r="52" spans="1:8" ht="15.95" hidden="1" customHeight="1" x14ac:dyDescent="0.15">
      <c r="A52" s="49"/>
    </row>
    <row r="53" spans="1:8" ht="15.95" hidden="1" customHeight="1" x14ac:dyDescent="0.15">
      <c r="A53" s="49"/>
    </row>
    <row r="54" spans="1:8" ht="15.95" hidden="1" customHeight="1" x14ac:dyDescent="0.15">
      <c r="A54" s="49"/>
    </row>
    <row r="55" spans="1:8" ht="15.95" hidden="1" customHeight="1" x14ac:dyDescent="0.15">
      <c r="A55" s="49"/>
    </row>
    <row r="56" spans="1:8" ht="15.95" hidden="1" customHeight="1" x14ac:dyDescent="0.15">
      <c r="A56" s="49"/>
    </row>
    <row r="57" spans="1:8" ht="15.95" hidden="1" customHeight="1" x14ac:dyDescent="0.15">
      <c r="A57" s="49"/>
    </row>
    <row r="58" spans="1:8" ht="15.95" hidden="1" customHeight="1" x14ac:dyDescent="0.15">
      <c r="A58" s="49"/>
    </row>
    <row r="59" spans="1:8" ht="15.95" hidden="1" customHeight="1" x14ac:dyDescent="0.15"/>
    <row r="60" spans="1:8" ht="15.95" hidden="1" customHeight="1" x14ac:dyDescent="0.15">
      <c r="B60" s="24" t="s">
        <v>91</v>
      </c>
    </row>
    <row r="61" spans="1:8" ht="15.95" hidden="1" customHeight="1" x14ac:dyDescent="0.15"/>
    <row r="62" spans="1:8" ht="15.95" hidden="1" customHeight="1" x14ac:dyDescent="0.15">
      <c r="B62" s="36" t="s">
        <v>85</v>
      </c>
      <c r="C62" s="20" t="s">
        <v>4</v>
      </c>
      <c r="D62" s="36" t="s">
        <v>88</v>
      </c>
      <c r="E62" s="68"/>
      <c r="F62" s="43"/>
      <c r="G62" s="20" t="s">
        <v>9</v>
      </c>
      <c r="H62" s="36" t="s">
        <v>101</v>
      </c>
    </row>
    <row r="63" spans="1:8" ht="15.95" hidden="1" customHeight="1" x14ac:dyDescent="0.15">
      <c r="B63" s="36" t="s">
        <v>86</v>
      </c>
      <c r="C63" s="20" t="s">
        <v>4</v>
      </c>
      <c r="D63" s="36" t="s">
        <v>89</v>
      </c>
      <c r="E63" s="68"/>
      <c r="F63" s="43"/>
      <c r="G63" s="20"/>
      <c r="H63" s="36"/>
    </row>
    <row r="64" spans="1:8" ht="15.95" hidden="1" customHeight="1" x14ac:dyDescent="0.15">
      <c r="B64" s="36" t="s">
        <v>87</v>
      </c>
      <c r="C64" s="20" t="s">
        <v>4</v>
      </c>
      <c r="D64" s="36" t="s">
        <v>90</v>
      </c>
      <c r="E64" s="68"/>
      <c r="F64" s="43"/>
      <c r="G64" s="20" t="s">
        <v>9</v>
      </c>
      <c r="H64" s="36" t="s">
        <v>102</v>
      </c>
    </row>
    <row r="65" spans="1:14" ht="15.95" hidden="1" customHeight="1" x14ac:dyDescent="0.15">
      <c r="B65" s="36" t="s">
        <v>65</v>
      </c>
      <c r="C65" s="20" t="s">
        <v>4</v>
      </c>
      <c r="D65" s="36" t="s">
        <v>207</v>
      </c>
      <c r="E65" s="68"/>
      <c r="F65" s="43"/>
      <c r="G65" s="20"/>
      <c r="H65" s="36"/>
    </row>
    <row r="66" spans="1:14" ht="15.95" hidden="1" customHeight="1" x14ac:dyDescent="0.15">
      <c r="B66" s="78" t="s">
        <v>120</v>
      </c>
      <c r="C66" s="20" t="s">
        <v>4</v>
      </c>
      <c r="D66" s="36" t="s">
        <v>189</v>
      </c>
      <c r="E66" s="38"/>
      <c r="F66" s="43"/>
      <c r="G66" s="20"/>
      <c r="H66" s="36" t="s">
        <v>103</v>
      </c>
    </row>
    <row r="67" spans="1:14" ht="15.95" hidden="1" customHeight="1" x14ac:dyDescent="0.15"/>
    <row r="68" spans="1:14" ht="15.95" hidden="1" customHeight="1" x14ac:dyDescent="0.15"/>
    <row r="69" spans="1:14" ht="15.95" hidden="1" customHeight="1" x14ac:dyDescent="0.15">
      <c r="A69" s="49"/>
      <c r="B69" s="24" t="s">
        <v>92</v>
      </c>
    </row>
    <row r="70" spans="1:14" ht="15.95" hidden="1" customHeight="1" x14ac:dyDescent="0.15"/>
    <row r="71" spans="1:14" ht="15.95" hidden="1" customHeight="1" x14ac:dyDescent="0.15">
      <c r="B71" s="78" t="s">
        <v>2</v>
      </c>
      <c r="C71" s="20" t="s">
        <v>4</v>
      </c>
      <c r="D71" s="172">
        <f>D11</f>
        <v>4750</v>
      </c>
      <c r="E71" s="43" t="s">
        <v>458</v>
      </c>
      <c r="G71" s="20" t="s">
        <v>9</v>
      </c>
      <c r="H71" s="36" t="s">
        <v>398</v>
      </c>
      <c r="N71" s="36"/>
    </row>
    <row r="72" spans="1:14" ht="15.95" hidden="1" customHeight="1" x14ac:dyDescent="0.15">
      <c r="B72" s="78" t="s">
        <v>43</v>
      </c>
      <c r="C72" s="20" t="s">
        <v>4</v>
      </c>
      <c r="D72" s="172">
        <f>D10</f>
        <v>250</v>
      </c>
      <c r="E72" s="43" t="s">
        <v>458</v>
      </c>
      <c r="G72" s="20" t="s">
        <v>9</v>
      </c>
      <c r="H72" s="36" t="s">
        <v>399</v>
      </c>
      <c r="N72" s="36"/>
    </row>
    <row r="73" spans="1:14" ht="15.95" hidden="1" customHeight="1" x14ac:dyDescent="0.15">
      <c r="B73" s="78" t="s">
        <v>111</v>
      </c>
      <c r="C73" s="20" t="s">
        <v>4</v>
      </c>
      <c r="D73" s="172">
        <f>(D71^2-D72^2)/(2*D71)</f>
        <v>2368.4210526315787</v>
      </c>
      <c r="E73" s="43" t="s">
        <v>458</v>
      </c>
      <c r="G73" s="20" t="s">
        <v>9</v>
      </c>
      <c r="H73" s="36" t="s">
        <v>126</v>
      </c>
      <c r="J73" s="38"/>
      <c r="K73" s="20"/>
      <c r="L73" s="79"/>
      <c r="M73" s="49"/>
      <c r="N73" s="36"/>
    </row>
    <row r="74" spans="1:14" ht="15.95" hidden="1" customHeight="1" x14ac:dyDescent="0.15">
      <c r="B74" s="78" t="s">
        <v>1132</v>
      </c>
      <c r="C74" s="20" t="s">
        <v>4</v>
      </c>
      <c r="D74" s="180">
        <f>0.7*ABS(D5/1000*(D7+D8)/2)</f>
        <v>0.12867007999999999</v>
      </c>
      <c r="E74" s="24" t="s">
        <v>477</v>
      </c>
      <c r="G74" s="20" t="s">
        <v>9</v>
      </c>
      <c r="H74" s="36" t="s">
        <v>97</v>
      </c>
    </row>
    <row r="75" spans="1:14" ht="15.95" hidden="1" customHeight="1" x14ac:dyDescent="0.15">
      <c r="B75" s="78" t="s">
        <v>5</v>
      </c>
      <c r="C75" s="20" t="s">
        <v>4</v>
      </c>
      <c r="D75" s="172">
        <f>D6</f>
        <v>69637.021649999995</v>
      </c>
      <c r="E75" s="43" t="s">
        <v>482</v>
      </c>
      <c r="G75" s="20" t="s">
        <v>9</v>
      </c>
      <c r="H75" s="36" t="s">
        <v>95</v>
      </c>
    </row>
    <row r="76" spans="1:14" ht="15.95" hidden="1" customHeight="1" x14ac:dyDescent="0.15">
      <c r="B76" s="78" t="s">
        <v>6</v>
      </c>
      <c r="C76" s="20" t="s">
        <v>4</v>
      </c>
      <c r="D76" s="172">
        <f>D42</f>
        <v>462398.66666666663</v>
      </c>
      <c r="E76" s="24" t="s">
        <v>475</v>
      </c>
      <c r="G76" s="20" t="s">
        <v>9</v>
      </c>
      <c r="H76" s="36" t="s">
        <v>96</v>
      </c>
    </row>
    <row r="77" spans="1:14" ht="15.95" hidden="1" customHeight="1" x14ac:dyDescent="0.15">
      <c r="F77" s="24" t="s">
        <v>0</v>
      </c>
    </row>
    <row r="78" spans="1:14" ht="15.95" hidden="1" customHeight="1" x14ac:dyDescent="0.15"/>
    <row r="79" spans="1:14" ht="15.95" hidden="1" customHeight="1" x14ac:dyDescent="0.15">
      <c r="A79" s="35"/>
      <c r="B79" s="24" t="s">
        <v>104</v>
      </c>
    </row>
    <row r="80" spans="1:14" ht="15.95" hidden="1" customHeight="1" x14ac:dyDescent="0.15"/>
    <row r="81" spans="1:11" ht="15.95" hidden="1" customHeight="1" x14ac:dyDescent="0.15">
      <c r="A81" s="24" t="s">
        <v>1</v>
      </c>
      <c r="B81" s="78" t="s">
        <v>105</v>
      </c>
      <c r="C81" s="20" t="s">
        <v>4</v>
      </c>
      <c r="D81" s="36" t="s">
        <v>112</v>
      </c>
      <c r="H81" s="78" t="s">
        <v>86</v>
      </c>
      <c r="I81" s="20" t="s">
        <v>4</v>
      </c>
      <c r="J81" s="97" t="s">
        <v>113</v>
      </c>
    </row>
    <row r="82" spans="1:11" ht="15.95" hidden="1" customHeight="1" x14ac:dyDescent="0.15">
      <c r="B82" s="78"/>
      <c r="C82" s="20" t="s">
        <v>4</v>
      </c>
      <c r="D82" s="172">
        <f>D74*(D71^2-D72^2)/(2*D71)</f>
        <v>304.74492631578943</v>
      </c>
      <c r="E82" s="24" t="s">
        <v>476</v>
      </c>
      <c r="H82" s="78"/>
      <c r="I82" s="20" t="s">
        <v>4</v>
      </c>
      <c r="J82" s="172">
        <f>D74*(D71+D72)^2/(2*D71)</f>
        <v>338.60547368421055</v>
      </c>
      <c r="K82" s="24" t="s">
        <v>476</v>
      </c>
    </row>
    <row r="83" spans="1:11" ht="15.95" hidden="1" customHeight="1" x14ac:dyDescent="0.15"/>
    <row r="84" spans="1:11" ht="15.95" hidden="1" customHeight="1" x14ac:dyDescent="0.15">
      <c r="B84" s="78" t="s">
        <v>106</v>
      </c>
      <c r="C84" s="20" t="s">
        <v>4</v>
      </c>
      <c r="D84" s="97" t="s">
        <v>110</v>
      </c>
      <c r="H84" s="78" t="s">
        <v>107</v>
      </c>
      <c r="I84" s="20" t="s">
        <v>4</v>
      </c>
      <c r="J84" s="97" t="s">
        <v>114</v>
      </c>
    </row>
    <row r="85" spans="1:11" ht="15.95" hidden="1" customHeight="1" x14ac:dyDescent="0.15">
      <c r="B85" s="78"/>
      <c r="C85" s="20" t="s">
        <v>4</v>
      </c>
      <c r="D85" s="172">
        <f>(D74*D72^2/2)</f>
        <v>4020.9399999999996</v>
      </c>
      <c r="E85" s="43" t="s">
        <v>498</v>
      </c>
      <c r="H85" s="78"/>
      <c r="I85" s="20" t="s">
        <v>4</v>
      </c>
      <c r="J85" s="172">
        <f>((D82*D73)-(D74*D73^2/2))</f>
        <v>360882.14958448743</v>
      </c>
      <c r="K85" s="43" t="s">
        <v>498</v>
      </c>
    </row>
    <row r="86" spans="1:11" ht="15.95" hidden="1" customHeight="1" x14ac:dyDescent="0.15"/>
    <row r="87" spans="1:11" ht="15.95" hidden="1" customHeight="1" x14ac:dyDescent="0.15">
      <c r="B87" s="78" t="s">
        <v>108</v>
      </c>
      <c r="C87" s="20" t="s">
        <v>4</v>
      </c>
      <c r="D87" s="97" t="s">
        <v>115</v>
      </c>
    </row>
    <row r="88" spans="1:11" ht="15.95" hidden="1" customHeight="1" x14ac:dyDescent="0.15">
      <c r="B88" s="78"/>
      <c r="C88" s="20" t="s">
        <v>4</v>
      </c>
      <c r="D88" s="79">
        <f>(D74*D72^4/(8*D75*D76))+((D74*D71*D72*(4*D72^2-D71^2))/(24*D75*D76))</f>
        <v>-4.4096010212941303</v>
      </c>
      <c r="E88" s="43" t="s">
        <v>458</v>
      </c>
    </row>
    <row r="89" spans="1:11" ht="15.95" hidden="1" customHeight="1" x14ac:dyDescent="0.15"/>
    <row r="90" spans="1:11" ht="15.95" hidden="1" customHeight="1" x14ac:dyDescent="0.15">
      <c r="B90" s="78" t="s">
        <v>109</v>
      </c>
      <c r="C90" s="20" t="s">
        <v>4</v>
      </c>
      <c r="D90" s="97" t="s">
        <v>116</v>
      </c>
    </row>
    <row r="91" spans="1:11" ht="15.95" hidden="1" customHeight="1" x14ac:dyDescent="0.15">
      <c r="B91" s="68"/>
      <c r="C91" s="20" t="s">
        <v>4</v>
      </c>
      <c r="D91" s="30">
        <f>(5*D74*D71^4/(384*D75*D76))-(D85*D71^2/(16*D75*D76))</f>
        <v>26.310985267847673</v>
      </c>
      <c r="E91" s="43" t="s">
        <v>458</v>
      </c>
    </row>
    <row r="92" spans="1:11" ht="15.95" hidden="1" customHeight="1" x14ac:dyDescent="0.15"/>
    <row r="93" spans="1:11" ht="15.95" hidden="1" customHeight="1" x14ac:dyDescent="0.15">
      <c r="B93" s="43" t="s">
        <v>201</v>
      </c>
    </row>
    <row r="94" spans="1:11" ht="15.95" hidden="1" customHeight="1" x14ac:dyDescent="0.15">
      <c r="A94" s="49"/>
    </row>
    <row r="95" spans="1:11" ht="15.95" hidden="1" customHeight="1" x14ac:dyDescent="0.15">
      <c r="A95" s="49"/>
    </row>
    <row r="96" spans="1:11" ht="15.95" hidden="1" customHeight="1" x14ac:dyDescent="0.15">
      <c r="A96" s="49"/>
    </row>
    <row r="97" spans="1:8" ht="15.95" hidden="1" customHeight="1" x14ac:dyDescent="0.15">
      <c r="A97" s="49"/>
    </row>
    <row r="98" spans="1:8" ht="15.95" hidden="1" customHeight="1" x14ac:dyDescent="0.15">
      <c r="A98" s="49"/>
    </row>
    <row r="99" spans="1:8" ht="15.95" hidden="1" customHeight="1" x14ac:dyDescent="0.15">
      <c r="A99" s="49"/>
    </row>
    <row r="100" spans="1:8" ht="15.95" hidden="1" customHeight="1" x14ac:dyDescent="0.15">
      <c r="A100" s="49"/>
    </row>
    <row r="101" spans="1:8" ht="15.95" hidden="1" customHeight="1" x14ac:dyDescent="0.15">
      <c r="A101" s="49"/>
    </row>
    <row r="102" spans="1:8" ht="15.95" hidden="1" customHeight="1" x14ac:dyDescent="0.15">
      <c r="A102" s="49"/>
    </row>
    <row r="103" spans="1:8" ht="15.95" hidden="1" customHeight="1" x14ac:dyDescent="0.15">
      <c r="A103" s="49"/>
    </row>
    <row r="104" spans="1:8" ht="15.95" hidden="1" customHeight="1" x14ac:dyDescent="0.15"/>
    <row r="105" spans="1:8" ht="15.95" hidden="1" customHeight="1" x14ac:dyDescent="0.15">
      <c r="B105" s="24" t="s">
        <v>91</v>
      </c>
    </row>
    <row r="106" spans="1:8" ht="15.95" hidden="1" customHeight="1" x14ac:dyDescent="0.15"/>
    <row r="107" spans="1:8" ht="15.95" hidden="1" customHeight="1" x14ac:dyDescent="0.15">
      <c r="B107" s="78" t="s">
        <v>105</v>
      </c>
      <c r="C107" s="20" t="s">
        <v>4</v>
      </c>
      <c r="D107" s="36" t="s">
        <v>251</v>
      </c>
      <c r="E107" s="68"/>
      <c r="G107" s="20" t="s">
        <v>9</v>
      </c>
      <c r="H107" s="98" t="s">
        <v>101</v>
      </c>
    </row>
    <row r="108" spans="1:8" ht="15.95" hidden="1" customHeight="1" x14ac:dyDescent="0.15">
      <c r="B108" s="78" t="s">
        <v>86</v>
      </c>
      <c r="C108" s="20" t="s">
        <v>4</v>
      </c>
      <c r="D108" s="99" t="s">
        <v>252</v>
      </c>
    </row>
    <row r="109" spans="1:8" ht="15.95" hidden="1" customHeight="1" x14ac:dyDescent="0.15"/>
    <row r="110" spans="1:8" ht="15.95" hidden="1" customHeight="1" x14ac:dyDescent="0.15"/>
    <row r="111" spans="1:8" ht="15.95" hidden="1" customHeight="1" x14ac:dyDescent="0.15">
      <c r="A111" s="49"/>
      <c r="B111" s="24" t="s">
        <v>92</v>
      </c>
    </row>
    <row r="112" spans="1:8" ht="15.95" hidden="1" customHeight="1" x14ac:dyDescent="0.15"/>
    <row r="113" spans="1:8" ht="15.95" hidden="1" customHeight="1" x14ac:dyDescent="0.15">
      <c r="B113" s="98" t="s">
        <v>2</v>
      </c>
      <c r="C113" s="20" t="s">
        <v>4</v>
      </c>
      <c r="D113" s="172">
        <f>D11</f>
        <v>4750</v>
      </c>
      <c r="E113" s="43" t="s">
        <v>458</v>
      </c>
      <c r="G113" s="20" t="s">
        <v>9</v>
      </c>
      <c r="H113" s="36" t="s">
        <v>98</v>
      </c>
    </row>
    <row r="114" spans="1:8" ht="15.95" hidden="1" customHeight="1" x14ac:dyDescent="0.15">
      <c r="B114" s="36" t="s">
        <v>43</v>
      </c>
      <c r="C114" s="20" t="s">
        <v>4</v>
      </c>
      <c r="D114" s="172">
        <f>D10</f>
        <v>250</v>
      </c>
      <c r="E114" s="43" t="s">
        <v>458</v>
      </c>
      <c r="G114" s="20" t="s">
        <v>9</v>
      </c>
      <c r="H114" s="36" t="s">
        <v>99</v>
      </c>
    </row>
    <row r="115" spans="1:8" ht="15.95" hidden="1" customHeight="1" x14ac:dyDescent="0.15">
      <c r="B115" s="100" t="s">
        <v>117</v>
      </c>
      <c r="C115" s="20" t="s">
        <v>4</v>
      </c>
      <c r="D115" s="172">
        <f>D82</f>
        <v>304.74492631578943</v>
      </c>
      <c r="E115" s="24" t="s">
        <v>476</v>
      </c>
      <c r="G115" s="20" t="s">
        <v>9</v>
      </c>
      <c r="H115" s="36" t="s">
        <v>118</v>
      </c>
    </row>
    <row r="116" spans="1:8" ht="15.95" hidden="1" customHeight="1" x14ac:dyDescent="0.15">
      <c r="F116" s="24" t="s">
        <v>0</v>
      </c>
    </row>
    <row r="117" spans="1:8" ht="15.95" hidden="1" customHeight="1" x14ac:dyDescent="0.15"/>
    <row r="118" spans="1:8" ht="15.95" hidden="1" customHeight="1" x14ac:dyDescent="0.15">
      <c r="A118" s="35"/>
      <c r="B118" s="24" t="s">
        <v>104</v>
      </c>
    </row>
    <row r="119" spans="1:8" ht="15.95" hidden="1" customHeight="1" x14ac:dyDescent="0.15"/>
    <row r="120" spans="1:8" ht="15.95" hidden="1" customHeight="1" x14ac:dyDescent="0.15">
      <c r="A120" s="24" t="s">
        <v>1</v>
      </c>
      <c r="B120" s="78" t="s">
        <v>105</v>
      </c>
      <c r="C120" s="20" t="s">
        <v>4</v>
      </c>
      <c r="D120" s="36" t="s">
        <v>253</v>
      </c>
    </row>
    <row r="121" spans="1:8" ht="15.95" hidden="1" customHeight="1" x14ac:dyDescent="0.15">
      <c r="B121" s="49"/>
      <c r="C121" s="20" t="s">
        <v>4</v>
      </c>
      <c r="D121" s="172">
        <f>D115*D114/D113</f>
        <v>16.039206648199443</v>
      </c>
      <c r="E121" s="24" t="s">
        <v>476</v>
      </c>
    </row>
    <row r="122" spans="1:8" ht="15.95" hidden="1" customHeight="1" x14ac:dyDescent="0.15">
      <c r="B122" s="78" t="s">
        <v>86</v>
      </c>
      <c r="C122" s="20" t="s">
        <v>4</v>
      </c>
      <c r="D122" s="99" t="s">
        <v>509</v>
      </c>
    </row>
    <row r="123" spans="1:8" ht="15.95" hidden="1" customHeight="1" x14ac:dyDescent="0.15">
      <c r="B123" s="49"/>
      <c r="C123" s="20" t="s">
        <v>4</v>
      </c>
      <c r="D123" s="172">
        <f>(D114+D113)/D113*D115</f>
        <v>320.78413296398884</v>
      </c>
      <c r="E123" s="24" t="s">
        <v>476</v>
      </c>
    </row>
    <row r="124" spans="1:8" ht="15.95" hidden="1" customHeight="1" x14ac:dyDescent="0.15">
      <c r="B124" s="49"/>
      <c r="C124" s="20"/>
      <c r="D124" s="79"/>
    </row>
    <row r="125" spans="1:8" ht="15.95" hidden="1" customHeight="1" x14ac:dyDescent="0.15">
      <c r="B125" s="49"/>
      <c r="C125" s="20"/>
      <c r="D125" s="79"/>
    </row>
    <row r="126" spans="1:8" ht="15.95" hidden="1" customHeight="1" x14ac:dyDescent="0.15">
      <c r="B126" s="49"/>
      <c r="C126" s="20"/>
      <c r="D126" s="79"/>
    </row>
    <row r="127" spans="1:8" ht="15.95" hidden="1" customHeight="1" x14ac:dyDescent="0.15">
      <c r="B127" s="49"/>
      <c r="C127" s="20"/>
      <c r="D127" s="79"/>
    </row>
    <row r="128" spans="1:8" ht="15.95" hidden="1" customHeight="1" x14ac:dyDescent="0.15">
      <c r="B128" s="49"/>
      <c r="C128" s="20"/>
      <c r="D128" s="79"/>
    </row>
    <row r="129" spans="1:4" ht="15.95" hidden="1" customHeight="1" x14ac:dyDescent="0.15">
      <c r="B129" s="49"/>
      <c r="C129" s="20"/>
      <c r="D129" s="79"/>
    </row>
    <row r="130" spans="1:4" ht="15.95" hidden="1" customHeight="1" x14ac:dyDescent="0.15">
      <c r="B130" s="49"/>
      <c r="C130" s="20"/>
      <c r="D130" s="79"/>
    </row>
    <row r="131" spans="1:4" ht="15.95" hidden="1" customHeight="1" x14ac:dyDescent="0.15">
      <c r="B131" s="49"/>
      <c r="C131" s="20"/>
      <c r="D131" s="79"/>
    </row>
    <row r="132" spans="1:4" ht="15.95" hidden="1" customHeight="1" x14ac:dyDescent="0.15">
      <c r="B132" s="49"/>
      <c r="C132" s="20"/>
      <c r="D132" s="79"/>
    </row>
    <row r="133" spans="1:4" ht="15.95" hidden="1" customHeight="1" x14ac:dyDescent="0.15">
      <c r="B133" s="49"/>
      <c r="C133" s="20"/>
      <c r="D133" s="79"/>
    </row>
    <row r="134" spans="1:4" ht="15.95" hidden="1" customHeight="1" x14ac:dyDescent="0.15">
      <c r="B134" s="49"/>
      <c r="C134" s="20"/>
      <c r="D134" s="79"/>
    </row>
    <row r="135" spans="1:4" ht="15.95" hidden="1" customHeight="1" x14ac:dyDescent="0.15">
      <c r="B135" s="49"/>
      <c r="C135" s="20"/>
      <c r="D135" s="79"/>
    </row>
    <row r="136" spans="1:4" ht="15.95" hidden="1" customHeight="1" x14ac:dyDescent="0.15">
      <c r="B136" s="49"/>
      <c r="C136" s="20"/>
      <c r="D136" s="79"/>
    </row>
    <row r="137" spans="1:4" ht="15.95" hidden="1" customHeight="1" x14ac:dyDescent="0.15">
      <c r="B137" s="49"/>
      <c r="C137" s="20"/>
      <c r="D137" s="79"/>
    </row>
    <row r="138" spans="1:4" ht="15.95" hidden="1" customHeight="1" x14ac:dyDescent="0.15">
      <c r="B138" s="49"/>
      <c r="C138" s="20"/>
      <c r="D138" s="79"/>
    </row>
    <row r="139" spans="1:4" ht="15.95" hidden="1" customHeight="1" x14ac:dyDescent="0.15">
      <c r="B139" s="43" t="s">
        <v>202</v>
      </c>
    </row>
    <row r="140" spans="1:4" ht="15.95" hidden="1" customHeight="1" x14ac:dyDescent="0.15">
      <c r="A140" s="49"/>
    </row>
    <row r="141" spans="1:4" ht="15.95" hidden="1" customHeight="1" x14ac:dyDescent="0.15">
      <c r="A141" s="49"/>
    </row>
    <row r="142" spans="1:4" ht="15.95" hidden="1" customHeight="1" x14ac:dyDescent="0.15">
      <c r="A142" s="49"/>
    </row>
    <row r="143" spans="1:4" ht="15.95" hidden="1" customHeight="1" x14ac:dyDescent="0.15">
      <c r="A143" s="49"/>
    </row>
    <row r="144" spans="1:4" ht="15.95" hidden="1" customHeight="1" x14ac:dyDescent="0.15">
      <c r="A144" s="49"/>
    </row>
    <row r="145" spans="1:14" ht="15.95" hidden="1" customHeight="1" x14ac:dyDescent="0.15">
      <c r="A145" s="49"/>
    </row>
    <row r="146" spans="1:14" ht="15.95" hidden="1" customHeight="1" x14ac:dyDescent="0.15">
      <c r="A146" s="49"/>
    </row>
    <row r="147" spans="1:14" ht="15.95" hidden="1" customHeight="1" x14ac:dyDescent="0.15">
      <c r="A147" s="49"/>
    </row>
    <row r="148" spans="1:14" ht="15.95" hidden="1" customHeight="1" x14ac:dyDescent="0.15">
      <c r="A148" s="49"/>
    </row>
    <row r="149" spans="1:14" ht="15.95" hidden="1" customHeight="1" x14ac:dyDescent="0.15">
      <c r="A149" s="49"/>
    </row>
    <row r="150" spans="1:14" ht="15.95" hidden="1" customHeight="1" x14ac:dyDescent="0.15"/>
    <row r="151" spans="1:14" ht="15.95" hidden="1" customHeight="1" x14ac:dyDescent="0.15">
      <c r="B151" s="24" t="s">
        <v>91</v>
      </c>
    </row>
    <row r="152" spans="1:14" ht="15.95" hidden="1" customHeight="1" x14ac:dyDescent="0.15"/>
    <row r="153" spans="1:14" ht="15.95" hidden="1" customHeight="1" x14ac:dyDescent="0.15">
      <c r="B153" s="78" t="s">
        <v>105</v>
      </c>
      <c r="C153" s="20" t="s">
        <v>4</v>
      </c>
      <c r="D153" s="36" t="s">
        <v>253</v>
      </c>
      <c r="E153" s="68"/>
      <c r="G153" s="20" t="s">
        <v>9</v>
      </c>
      <c r="H153" s="98" t="s">
        <v>101</v>
      </c>
    </row>
    <row r="154" spans="1:14" ht="15.95" hidden="1" customHeight="1" x14ac:dyDescent="0.15">
      <c r="B154" s="78" t="s">
        <v>86</v>
      </c>
      <c r="C154" s="20" t="s">
        <v>4</v>
      </c>
      <c r="D154" s="99" t="s">
        <v>252</v>
      </c>
      <c r="E154" s="68"/>
    </row>
    <row r="155" spans="1:14" ht="15.95" hidden="1" customHeight="1" x14ac:dyDescent="0.15">
      <c r="B155" s="78" t="s">
        <v>87</v>
      </c>
      <c r="C155" s="20" t="s">
        <v>4</v>
      </c>
      <c r="D155" s="36" t="s">
        <v>121</v>
      </c>
      <c r="E155" s="68"/>
      <c r="G155" s="20" t="s">
        <v>9</v>
      </c>
      <c r="H155" s="36" t="s">
        <v>102</v>
      </c>
    </row>
    <row r="156" spans="1:14" ht="15.95" hidden="1" customHeight="1" x14ac:dyDescent="0.15">
      <c r="B156" s="78" t="s">
        <v>119</v>
      </c>
      <c r="C156" s="20" t="s">
        <v>4</v>
      </c>
      <c r="D156" s="36" t="s">
        <v>122</v>
      </c>
      <c r="E156" s="68"/>
      <c r="G156" s="36" t="s">
        <v>124</v>
      </c>
      <c r="H156" s="36"/>
      <c r="N156" s="43"/>
    </row>
    <row r="157" spans="1:14" ht="15.95" hidden="1" customHeight="1" x14ac:dyDescent="0.15">
      <c r="B157" s="78" t="s">
        <v>120</v>
      </c>
      <c r="C157" s="20" t="s">
        <v>4</v>
      </c>
      <c r="D157" s="36" t="s">
        <v>123</v>
      </c>
      <c r="E157" s="38"/>
      <c r="G157" s="20" t="s">
        <v>9</v>
      </c>
      <c r="H157" s="36" t="s">
        <v>103</v>
      </c>
      <c r="N157" s="43"/>
    </row>
    <row r="158" spans="1:14" ht="15.95" hidden="1" customHeight="1" x14ac:dyDescent="0.15"/>
    <row r="159" spans="1:14" ht="15.95" hidden="1" customHeight="1" x14ac:dyDescent="0.15"/>
    <row r="160" spans="1:14" ht="15.95" hidden="1" customHeight="1" x14ac:dyDescent="0.15">
      <c r="A160" s="49"/>
      <c r="B160" s="24" t="s">
        <v>92</v>
      </c>
    </row>
    <row r="161" spans="1:11" ht="15.95" hidden="1" customHeight="1" x14ac:dyDescent="0.15"/>
    <row r="162" spans="1:11" ht="15.95" hidden="1" customHeight="1" x14ac:dyDescent="0.15">
      <c r="B162" s="98" t="s">
        <v>2</v>
      </c>
      <c r="C162" s="20" t="s">
        <v>4</v>
      </c>
      <c r="D162" s="172">
        <f>D71</f>
        <v>4750</v>
      </c>
      <c r="E162" s="43" t="s">
        <v>458</v>
      </c>
      <c r="F162" s="43"/>
      <c r="G162" s="20" t="s">
        <v>9</v>
      </c>
      <c r="H162" s="36" t="s">
        <v>98</v>
      </c>
    </row>
    <row r="163" spans="1:11" ht="15.95" hidden="1" customHeight="1" x14ac:dyDescent="0.15">
      <c r="B163" s="36" t="s">
        <v>43</v>
      </c>
      <c r="C163" s="20" t="s">
        <v>4</v>
      </c>
      <c r="D163" s="172">
        <f>D72</f>
        <v>250</v>
      </c>
      <c r="E163" s="43" t="s">
        <v>458</v>
      </c>
      <c r="F163" s="43"/>
      <c r="G163" s="20" t="s">
        <v>9</v>
      </c>
      <c r="H163" s="36" t="s">
        <v>99</v>
      </c>
    </row>
    <row r="164" spans="1:11" ht="15.95" hidden="1" customHeight="1" x14ac:dyDescent="0.15">
      <c r="B164" s="36" t="s">
        <v>125</v>
      </c>
      <c r="C164" s="20" t="s">
        <v>4</v>
      </c>
      <c r="D164" s="172">
        <f>(D162^2-D163^2)/(2*D162)</f>
        <v>2368.4210526315787</v>
      </c>
      <c r="E164" s="43" t="s">
        <v>458</v>
      </c>
      <c r="F164" s="43"/>
      <c r="G164" s="20" t="s">
        <v>9</v>
      </c>
      <c r="H164" s="36" t="s">
        <v>126</v>
      </c>
      <c r="K164" s="36"/>
    </row>
    <row r="165" spans="1:11" ht="15.95" hidden="1" customHeight="1" x14ac:dyDescent="0.15">
      <c r="B165" s="100" t="s">
        <v>117</v>
      </c>
      <c r="C165" s="20" t="s">
        <v>4</v>
      </c>
      <c r="D165" s="172">
        <f>D82</f>
        <v>304.74492631578943</v>
      </c>
      <c r="E165" s="24" t="s">
        <v>476</v>
      </c>
      <c r="G165" s="20" t="s">
        <v>9</v>
      </c>
      <c r="H165" s="36" t="s">
        <v>127</v>
      </c>
    </row>
    <row r="166" spans="1:11" ht="15.95" hidden="1" customHeight="1" x14ac:dyDescent="0.15">
      <c r="B166" s="100" t="s">
        <v>7</v>
      </c>
      <c r="C166" s="20" t="s">
        <v>4</v>
      </c>
      <c r="D166" s="172">
        <f>D165-D121</f>
        <v>288.70571966758996</v>
      </c>
      <c r="E166" s="24" t="s">
        <v>476</v>
      </c>
      <c r="F166" s="43"/>
      <c r="G166" s="20" t="s">
        <v>9</v>
      </c>
      <c r="H166" s="36" t="s">
        <v>128</v>
      </c>
      <c r="K166" s="36"/>
    </row>
    <row r="167" spans="1:11" ht="15.95" hidden="1" customHeight="1" x14ac:dyDescent="0.15">
      <c r="B167" s="78" t="s">
        <v>5</v>
      </c>
      <c r="C167" s="20" t="s">
        <v>4</v>
      </c>
      <c r="D167" s="172">
        <f>D75</f>
        <v>69637.021649999995</v>
      </c>
      <c r="E167" s="43" t="s">
        <v>457</v>
      </c>
      <c r="G167" s="20" t="s">
        <v>9</v>
      </c>
      <c r="H167" s="36" t="s">
        <v>95</v>
      </c>
    </row>
    <row r="168" spans="1:11" ht="15.95" hidden="1" customHeight="1" x14ac:dyDescent="0.15">
      <c r="B168" s="78" t="s">
        <v>6</v>
      </c>
      <c r="C168" s="20" t="s">
        <v>4</v>
      </c>
      <c r="D168" s="172">
        <f>D76</f>
        <v>462398.66666666663</v>
      </c>
      <c r="E168" s="24" t="s">
        <v>475</v>
      </c>
      <c r="G168" s="20" t="s">
        <v>9</v>
      </c>
      <c r="H168" s="36" t="s">
        <v>96</v>
      </c>
    </row>
    <row r="169" spans="1:11" ht="15.95" hidden="1" customHeight="1" x14ac:dyDescent="0.15">
      <c r="F169" s="24" t="s">
        <v>0</v>
      </c>
    </row>
    <row r="170" spans="1:11" ht="15.95" hidden="1" customHeight="1" x14ac:dyDescent="0.15"/>
    <row r="171" spans="1:11" ht="15.95" hidden="1" customHeight="1" x14ac:dyDescent="0.15">
      <c r="A171" s="35"/>
      <c r="B171" s="24" t="s">
        <v>104</v>
      </c>
    </row>
    <row r="172" spans="1:11" ht="15.95" hidden="1" customHeight="1" x14ac:dyDescent="0.15"/>
    <row r="173" spans="1:11" ht="15.95" hidden="1" customHeight="1" x14ac:dyDescent="0.15">
      <c r="A173" s="24" t="s">
        <v>1</v>
      </c>
      <c r="B173" s="78" t="s">
        <v>105</v>
      </c>
      <c r="C173" s="20" t="s">
        <v>4</v>
      </c>
      <c r="D173" s="36" t="s">
        <v>253</v>
      </c>
      <c r="H173" s="78" t="s">
        <v>86</v>
      </c>
      <c r="I173" s="20" t="s">
        <v>4</v>
      </c>
      <c r="J173" s="99" t="s">
        <v>509</v>
      </c>
    </row>
    <row r="174" spans="1:11" ht="15.95" hidden="1" customHeight="1" x14ac:dyDescent="0.15">
      <c r="B174" s="78"/>
      <c r="C174" s="20" t="s">
        <v>4</v>
      </c>
      <c r="D174" s="172">
        <f>D166*D163/D162</f>
        <v>15.195037877241575</v>
      </c>
      <c r="E174" s="24" t="s">
        <v>476</v>
      </c>
      <c r="H174" s="49"/>
      <c r="I174" s="20" t="s">
        <v>4</v>
      </c>
      <c r="J174" s="172">
        <f>(D163+D162)/D162*D166</f>
        <v>303.90075754483149</v>
      </c>
      <c r="K174" s="24" t="s">
        <v>476</v>
      </c>
    </row>
    <row r="175" spans="1:11" ht="15.95" hidden="1" customHeight="1" x14ac:dyDescent="0.15"/>
    <row r="176" spans="1:11" ht="15.95" hidden="1" customHeight="1" x14ac:dyDescent="0.15">
      <c r="B176" s="78" t="s">
        <v>87</v>
      </c>
      <c r="C176" s="20" t="s">
        <v>4</v>
      </c>
      <c r="D176" s="36" t="s">
        <v>121</v>
      </c>
      <c r="H176" s="78" t="s">
        <v>119</v>
      </c>
      <c r="I176" s="20" t="s">
        <v>4</v>
      </c>
      <c r="J176" s="36" t="s">
        <v>122</v>
      </c>
    </row>
    <row r="177" spans="1:26" ht="15.95" hidden="1" customHeight="1" x14ac:dyDescent="0.15">
      <c r="C177" s="20" t="s">
        <v>4</v>
      </c>
      <c r="D177" s="172">
        <f>(D166*D163)</f>
        <v>72176.429916897483</v>
      </c>
      <c r="E177" s="43" t="s">
        <v>498</v>
      </c>
      <c r="I177" s="20" t="s">
        <v>4</v>
      </c>
      <c r="J177" s="172">
        <f>((D166*D163)*(D164/D162))</f>
        <v>35988.247603993201</v>
      </c>
      <c r="K177" s="43" t="s">
        <v>498</v>
      </c>
    </row>
    <row r="178" spans="1:26" ht="15.95" hidden="1" customHeight="1" x14ac:dyDescent="0.15"/>
    <row r="179" spans="1:26" ht="15.95" hidden="1" customHeight="1" x14ac:dyDescent="0.15">
      <c r="B179" s="78" t="s">
        <v>130</v>
      </c>
      <c r="C179" s="20" t="s">
        <v>4</v>
      </c>
      <c r="D179" s="97" t="s">
        <v>131</v>
      </c>
    </row>
    <row r="180" spans="1:26" ht="15.95" hidden="1" customHeight="1" x14ac:dyDescent="0.15">
      <c r="B180" s="68"/>
      <c r="C180" s="20" t="s">
        <v>4</v>
      </c>
      <c r="D180" s="79">
        <f>((D166*D163^2*(D162+D163))/(3*D167*D168))</f>
        <v>0.93395810124240131</v>
      </c>
      <c r="E180" s="43" t="s">
        <v>458</v>
      </c>
    </row>
    <row r="181" spans="1:26" ht="15.95" hidden="1" customHeight="1" x14ac:dyDescent="0.15"/>
    <row r="182" spans="1:26" ht="15.95" hidden="1" customHeight="1" x14ac:dyDescent="0.15">
      <c r="B182" s="78" t="s">
        <v>129</v>
      </c>
      <c r="C182" s="20" t="s">
        <v>4</v>
      </c>
      <c r="D182" s="36" t="s">
        <v>123</v>
      </c>
    </row>
    <row r="183" spans="1:26" ht="15.95" hidden="1" customHeight="1" x14ac:dyDescent="0.15">
      <c r="B183" s="68"/>
      <c r="C183" s="20" t="s">
        <v>4</v>
      </c>
      <c r="D183" s="79">
        <f>(0.0642*D166*D163*D162^2/(D167*D168))</f>
        <v>3.2468399619021211</v>
      </c>
      <c r="E183" s="43" t="s">
        <v>458</v>
      </c>
    </row>
    <row r="184" spans="1:26" ht="15.95" hidden="1" customHeight="1" x14ac:dyDescent="0.15"/>
    <row r="185" spans="1:26" ht="15.95" hidden="1" customHeight="1" x14ac:dyDescent="0.15">
      <c r="A185" s="43"/>
      <c r="B185" s="77" t="s">
        <v>144</v>
      </c>
      <c r="C185" s="43"/>
      <c r="D185" s="43"/>
      <c r="E185" s="43"/>
      <c r="F185" s="43"/>
      <c r="G185" s="43"/>
      <c r="H185" s="43"/>
      <c r="I185" s="43"/>
      <c r="J185" s="43"/>
      <c r="K185" s="43"/>
      <c r="L185" s="43"/>
      <c r="N185" s="45" t="s">
        <v>355</v>
      </c>
      <c r="O185" s="361">
        <f>G6</f>
        <v>5</v>
      </c>
      <c r="P185" s="46"/>
    </row>
    <row r="186" spans="1:26" s="47" customFormat="1" ht="15.95" hidden="1" customHeight="1" x14ac:dyDescent="0.15">
      <c r="J186" s="48"/>
      <c r="K186" s="37"/>
      <c r="L186" s="48"/>
      <c r="M186" s="48"/>
      <c r="N186" s="37"/>
      <c r="O186" s="37"/>
      <c r="P186" s="37"/>
      <c r="V186" s="52"/>
      <c r="X186" s="52"/>
      <c r="Z186" s="52"/>
    </row>
    <row r="187" spans="1:26" s="47" customFormat="1" ht="15.95" hidden="1" customHeight="1" x14ac:dyDescent="0.15">
      <c r="A187" s="24"/>
      <c r="B187" s="49" t="s">
        <v>289</v>
      </c>
      <c r="C187" s="49"/>
      <c r="G187" s="50" t="s">
        <v>290</v>
      </c>
      <c r="H187" s="101"/>
      <c r="I187" s="43"/>
      <c r="J187" s="102"/>
      <c r="K187" s="51"/>
      <c r="L187" s="24"/>
      <c r="M187" s="24"/>
      <c r="N187" s="52" t="s">
        <v>291</v>
      </c>
      <c r="O187" s="360">
        <v>14</v>
      </c>
      <c r="P187" s="24"/>
      <c r="S187" s="24"/>
      <c r="V187" s="52"/>
      <c r="X187" s="52"/>
      <c r="Z187" s="52"/>
    </row>
    <row r="188" spans="1:26" s="47" customFormat="1" ht="15.95" hidden="1" customHeight="1" x14ac:dyDescent="0.15">
      <c r="A188" s="24"/>
      <c r="B188" s="49"/>
      <c r="C188" s="24"/>
      <c r="D188" s="24"/>
      <c r="E188" s="24"/>
      <c r="G188" s="37"/>
      <c r="I188" s="24"/>
      <c r="J188" s="49"/>
      <c r="K188" s="38"/>
      <c r="L188" s="24"/>
      <c r="M188" s="38" t="s">
        <v>292</v>
      </c>
      <c r="N188" s="103">
        <v>5</v>
      </c>
      <c r="O188" s="103">
        <v>6</v>
      </c>
      <c r="Q188" s="702" t="s">
        <v>293</v>
      </c>
      <c r="R188" s="703"/>
      <c r="S188" s="704" t="s">
        <v>328</v>
      </c>
      <c r="T188" s="705"/>
      <c r="U188" s="706"/>
      <c r="V188" s="52"/>
      <c r="X188" s="52"/>
      <c r="Z188" s="52"/>
    </row>
    <row r="189" spans="1:26" s="47" customFormat="1" ht="15.95" hidden="1" customHeight="1" x14ac:dyDescent="0.15">
      <c r="A189" s="24"/>
      <c r="B189" s="36" t="s">
        <v>344</v>
      </c>
      <c r="C189" s="20" t="s">
        <v>4</v>
      </c>
      <c r="D189" s="176">
        <f>D12</f>
        <v>2600</v>
      </c>
      <c r="E189" s="29" t="s">
        <v>479</v>
      </c>
      <c r="F189" s="24"/>
      <c r="G189" s="36" t="s">
        <v>294</v>
      </c>
      <c r="H189" s="20" t="s">
        <v>295</v>
      </c>
      <c r="I189" s="38">
        <f>2*D189*D191/(SQRT(D190*D192))</f>
        <v>60.087764625503318</v>
      </c>
      <c r="K189" s="38"/>
      <c r="L189" s="24"/>
      <c r="M189" s="24"/>
      <c r="N189" s="53">
        <v>0</v>
      </c>
      <c r="O189" s="53">
        <v>0</v>
      </c>
      <c r="P189" s="37" t="s">
        <v>296</v>
      </c>
      <c r="Q189" s="54" t="s">
        <v>297</v>
      </c>
      <c r="R189" s="55" t="s">
        <v>298</v>
      </c>
      <c r="S189" s="55">
        <v>1</v>
      </c>
      <c r="T189" s="56">
        <f>IF(O185=5, N189, O189)</f>
        <v>0</v>
      </c>
      <c r="U189" s="55" t="str">
        <f>P189</f>
        <v>S  ≤  S₁</v>
      </c>
      <c r="V189" s="52"/>
      <c r="X189" s="52"/>
      <c r="Z189" s="52"/>
    </row>
    <row r="190" spans="1:26" s="47" customFormat="1" ht="15.95" hidden="1" customHeight="1" x14ac:dyDescent="0.15">
      <c r="A190" s="24"/>
      <c r="B190" s="36" t="s">
        <v>995</v>
      </c>
      <c r="C190" s="20" t="s">
        <v>4</v>
      </c>
      <c r="D190" s="176">
        <f>D41</f>
        <v>1671313.4310645724</v>
      </c>
      <c r="E190" s="29" t="s">
        <v>475</v>
      </c>
      <c r="F190" s="24"/>
      <c r="G190" s="57" t="s">
        <v>300</v>
      </c>
      <c r="H190" s="38"/>
      <c r="I190" s="38"/>
      <c r="J190" s="52"/>
      <c r="K190" s="38"/>
      <c r="L190" s="24"/>
      <c r="M190" s="24"/>
      <c r="N190" s="58">
        <v>0</v>
      </c>
      <c r="O190" s="58">
        <v>0</v>
      </c>
      <c r="P190" s="37" t="s">
        <v>301</v>
      </c>
      <c r="Q190" s="59">
        <f>IF(O185=5, N190,O190)</f>
        <v>0</v>
      </c>
      <c r="R190" s="60">
        <f>IF(O185=5,N192,O192)</f>
        <v>3823</v>
      </c>
      <c r="S190" s="62">
        <v>2</v>
      </c>
      <c r="T190" s="61">
        <f>IF(O185=5, N191, O191)</f>
        <v>9.9573859136873004</v>
      </c>
      <c r="U190" s="62" t="str">
        <f>P191</f>
        <v>S₁&lt;  S  &lt; S₂</v>
      </c>
      <c r="V190" s="52"/>
      <c r="X190" s="52"/>
      <c r="Z190" s="52"/>
    </row>
    <row r="191" spans="1:26" s="47" customFormat="1" ht="15.95" hidden="1" customHeight="1" x14ac:dyDescent="0.15">
      <c r="B191" s="36" t="s">
        <v>996</v>
      </c>
      <c r="C191" s="20" t="s">
        <v>4</v>
      </c>
      <c r="D191" s="176">
        <f>D44</f>
        <v>15413.288888888888</v>
      </c>
      <c r="E191" s="29" t="s">
        <v>471</v>
      </c>
      <c r="G191" s="36" t="str">
        <f>U193</f>
        <v>S₁&lt;  S  &lt; S₂</v>
      </c>
      <c r="J191" s="24"/>
      <c r="K191" s="38"/>
      <c r="L191" s="24"/>
      <c r="M191" s="24"/>
      <c r="N191" s="58">
        <f>10.5-0.07*SQRT(I189)</f>
        <v>9.9573859136873004</v>
      </c>
      <c r="O191" s="58">
        <f>16.7-0.14*SQRT(I189)</f>
        <v>15.6147718273746</v>
      </c>
      <c r="P191" s="37" t="s">
        <v>302</v>
      </c>
      <c r="Q191" s="104" t="s">
        <v>303</v>
      </c>
      <c r="S191" s="60">
        <v>3</v>
      </c>
      <c r="T191" s="63">
        <f>IF(O185=5, N193, O193)</f>
        <v>392.74218548619081</v>
      </c>
      <c r="U191" s="60" t="str">
        <f>P193</f>
        <v>S  ≥  S₂</v>
      </c>
      <c r="V191" s="52"/>
      <c r="X191" s="52"/>
      <c r="Z191" s="52"/>
    </row>
    <row r="192" spans="1:26" s="47" customFormat="1" ht="15.95" hidden="1" customHeight="1" thickBot="1" x14ac:dyDescent="0.2">
      <c r="A192" s="24"/>
      <c r="B192" s="36" t="s">
        <v>304</v>
      </c>
      <c r="C192" s="20" t="s">
        <v>4</v>
      </c>
      <c r="D192" s="176">
        <f>D45</f>
        <v>1064553.0909090908</v>
      </c>
      <c r="E192" s="29" t="s">
        <v>475</v>
      </c>
      <c r="F192" s="38"/>
      <c r="H192" s="38"/>
      <c r="I192" s="24"/>
      <c r="J192" s="24"/>
      <c r="K192" s="24"/>
      <c r="L192" s="24"/>
      <c r="M192" s="24"/>
      <c r="N192" s="58">
        <v>3823</v>
      </c>
      <c r="O192" s="58">
        <v>2400</v>
      </c>
      <c r="P192" s="37" t="s">
        <v>306</v>
      </c>
      <c r="Q192" s="55" t="s">
        <v>307</v>
      </c>
      <c r="V192" s="52"/>
      <c r="X192" s="52"/>
      <c r="Z192" s="52"/>
    </row>
    <row r="193" spans="1:26" s="47" customFormat="1" ht="15.95" hidden="1" customHeight="1" thickBot="1" x14ac:dyDescent="0.2">
      <c r="A193" s="24"/>
      <c r="B193" s="36" t="s">
        <v>308</v>
      </c>
      <c r="C193" s="20" t="s">
        <v>4</v>
      </c>
      <c r="D193" s="24">
        <f>T193</f>
        <v>9.9573859136873004</v>
      </c>
      <c r="E193" s="29" t="s">
        <v>187</v>
      </c>
      <c r="F193" s="38"/>
      <c r="K193" s="24"/>
      <c r="L193" s="24"/>
      <c r="M193" s="24"/>
      <c r="N193" s="64">
        <f>23599/I189</f>
        <v>392.74218548619081</v>
      </c>
      <c r="O193" s="64">
        <f>23599/I189</f>
        <v>392.74218548619081</v>
      </c>
      <c r="P193" s="37" t="s">
        <v>309</v>
      </c>
      <c r="Q193" s="60">
        <f>I189</f>
        <v>60.087764625503318</v>
      </c>
      <c r="S193" s="105">
        <f>IF(Q193&lt;=Q190,1,IF(AND(Q193&gt;Q190,Q193&lt;R190),2,3))</f>
        <v>2</v>
      </c>
      <c r="T193" s="65">
        <f>VLOOKUP(S193, S189:T191, 2, FALSE)</f>
        <v>9.9573859136873004</v>
      </c>
      <c r="U193" s="66" t="str">
        <f>VLOOKUP(S193,S189:U191, 3, FALSE)</f>
        <v>S₁&lt;  S  &lt; S₂</v>
      </c>
      <c r="V193" s="52"/>
      <c r="X193" s="52"/>
      <c r="Z193" s="52"/>
    </row>
    <row r="194" spans="1:26" s="47" customFormat="1" ht="15.95" hidden="1" customHeight="1" x14ac:dyDescent="0.15">
      <c r="A194" s="24"/>
      <c r="C194" s="20" t="s">
        <v>4</v>
      </c>
      <c r="D194" s="29">
        <f>D193*6.894757</f>
        <v>68.653756230096917</v>
      </c>
      <c r="E194" s="29" t="s">
        <v>457</v>
      </c>
      <c r="F194" s="38"/>
      <c r="G194" s="38"/>
      <c r="H194" s="38"/>
      <c r="I194" s="24"/>
      <c r="J194" s="24"/>
      <c r="K194" s="24"/>
      <c r="L194" s="24"/>
      <c r="M194" s="24"/>
      <c r="V194" s="52"/>
      <c r="X194" s="52"/>
      <c r="Z194" s="52"/>
    </row>
    <row r="195" spans="1:26" s="47" customFormat="1" ht="15.95" hidden="1" customHeight="1" x14ac:dyDescent="0.15">
      <c r="A195" s="24"/>
      <c r="C195" s="20"/>
      <c r="D195" s="29"/>
      <c r="E195" s="29"/>
      <c r="F195" s="38"/>
      <c r="G195" s="38"/>
      <c r="H195" s="38"/>
      <c r="I195" s="24"/>
      <c r="J195" s="24"/>
      <c r="K195" s="24"/>
      <c r="L195" s="24"/>
      <c r="M195" s="24"/>
      <c r="V195" s="52"/>
      <c r="X195" s="52"/>
      <c r="Z195" s="52"/>
    </row>
    <row r="196" spans="1:26" s="47" customFormat="1" ht="15.95" hidden="1" customHeight="1" x14ac:dyDescent="0.15">
      <c r="A196" s="24"/>
      <c r="B196" s="49" t="s">
        <v>310</v>
      </c>
      <c r="C196" s="49"/>
      <c r="D196" s="156"/>
      <c r="E196" s="156"/>
      <c r="G196" s="50" t="s">
        <v>311</v>
      </c>
      <c r="H196" s="101"/>
      <c r="I196" s="38"/>
      <c r="J196" s="102"/>
      <c r="K196" s="24"/>
      <c r="L196" s="24"/>
      <c r="M196" s="24"/>
      <c r="N196" s="52" t="s">
        <v>291</v>
      </c>
      <c r="O196" s="360">
        <v>16</v>
      </c>
      <c r="P196" s="24"/>
      <c r="S196" s="24"/>
      <c r="V196" s="52"/>
      <c r="X196" s="52"/>
      <c r="Z196" s="52"/>
    </row>
    <row r="197" spans="1:26" s="47" customFormat="1" ht="15.95" hidden="1" customHeight="1" x14ac:dyDescent="0.15">
      <c r="A197" s="24"/>
      <c r="B197" s="49"/>
      <c r="C197" s="49"/>
      <c r="D197" s="156"/>
      <c r="E197" s="156"/>
      <c r="F197" s="49"/>
      <c r="G197" s="49"/>
      <c r="H197" s="49"/>
      <c r="I197" s="24"/>
      <c r="J197" s="49"/>
      <c r="K197" s="24"/>
      <c r="L197" s="24"/>
      <c r="M197" s="38" t="s">
        <v>292</v>
      </c>
      <c r="N197" s="103">
        <v>5</v>
      </c>
      <c r="O197" s="103">
        <v>6</v>
      </c>
      <c r="Q197" s="702" t="s">
        <v>293</v>
      </c>
      <c r="R197" s="703"/>
      <c r="S197" s="704" t="s">
        <v>328</v>
      </c>
      <c r="T197" s="705"/>
      <c r="U197" s="706"/>
      <c r="V197" s="52"/>
      <c r="X197" s="52"/>
      <c r="Z197" s="52"/>
    </row>
    <row r="198" spans="1:26" s="47" customFormat="1" ht="15.95" hidden="1" customHeight="1" x14ac:dyDescent="0.15">
      <c r="A198" s="24"/>
      <c r="B198" s="36" t="s">
        <v>77</v>
      </c>
      <c r="C198" s="20" t="s">
        <v>4</v>
      </c>
      <c r="D198" s="23">
        <f>R41</f>
        <v>116</v>
      </c>
      <c r="E198" s="29" t="s">
        <v>479</v>
      </c>
      <c r="F198" s="24"/>
      <c r="G198" s="36" t="str">
        <f>U202</f>
        <v>S  ≥  S₂</v>
      </c>
      <c r="K198" s="24"/>
      <c r="L198" s="24"/>
      <c r="M198" s="24"/>
      <c r="N198" s="53">
        <v>9.6999999999999993</v>
      </c>
      <c r="O198" s="53">
        <v>15.2</v>
      </c>
      <c r="P198" s="37" t="s">
        <v>296</v>
      </c>
      <c r="Q198" s="54" t="s">
        <v>297</v>
      </c>
      <c r="R198" s="55" t="s">
        <v>298</v>
      </c>
      <c r="S198" s="55">
        <v>1</v>
      </c>
      <c r="T198" s="56">
        <f>IF(O185=5, N198, O198)</f>
        <v>9.6999999999999993</v>
      </c>
      <c r="U198" s="55" t="str">
        <f>P198</f>
        <v>S  ≤  S₁</v>
      </c>
      <c r="V198" s="52"/>
      <c r="X198" s="52"/>
      <c r="Z198" s="52"/>
    </row>
    <row r="199" spans="1:26" s="47" customFormat="1" ht="15.95" hidden="1" customHeight="1" x14ac:dyDescent="0.15">
      <c r="A199" s="24"/>
      <c r="B199" s="36" t="s">
        <v>333</v>
      </c>
      <c r="C199" s="20" t="s">
        <v>4</v>
      </c>
      <c r="D199" s="23">
        <f>R43</f>
        <v>2</v>
      </c>
      <c r="E199" s="29" t="s">
        <v>479</v>
      </c>
      <c r="G199" s="24"/>
      <c r="H199" s="24"/>
      <c r="I199" s="24"/>
      <c r="J199" s="24"/>
      <c r="K199" s="24"/>
      <c r="L199" s="24"/>
      <c r="M199" s="24"/>
      <c r="N199" s="58">
        <v>25.6</v>
      </c>
      <c r="O199" s="58">
        <v>22.8</v>
      </c>
      <c r="P199" s="37" t="s">
        <v>301</v>
      </c>
      <c r="Q199" s="59">
        <f>IF(O185=5, N199,O199)</f>
        <v>25.6</v>
      </c>
      <c r="R199" s="60">
        <f>IF(O185=5,N201,O201)</f>
        <v>50</v>
      </c>
      <c r="S199" s="62">
        <v>2</v>
      </c>
      <c r="T199" s="61">
        <f>IF(O185=5, N200, O200)</f>
        <v>6.9860000000000007</v>
      </c>
      <c r="U199" s="62" t="str">
        <f>P200</f>
        <v>S₁&lt;  S  &lt; S₂</v>
      </c>
      <c r="V199" s="52"/>
      <c r="X199" s="52"/>
      <c r="Z199" s="52"/>
    </row>
    <row r="200" spans="1:26" s="47" customFormat="1" ht="15.95" hidden="1" customHeight="1" x14ac:dyDescent="0.15">
      <c r="A200" s="24"/>
      <c r="B200" s="36" t="s">
        <v>356</v>
      </c>
      <c r="C200" s="20" t="s">
        <v>4</v>
      </c>
      <c r="D200" s="23">
        <f>D198/D199</f>
        <v>58</v>
      </c>
      <c r="E200" s="29"/>
      <c r="F200" s="24"/>
      <c r="H200" s="24"/>
      <c r="I200" s="24"/>
      <c r="J200" s="24"/>
      <c r="K200" s="24"/>
      <c r="L200" s="24"/>
      <c r="M200" s="24"/>
      <c r="N200" s="58">
        <f>11.8-0.083*D200</f>
        <v>6.9860000000000007</v>
      </c>
      <c r="O200" s="58">
        <f>19-0.17*(D200)</f>
        <v>9.1399999999999988</v>
      </c>
      <c r="P200" s="37" t="s">
        <v>302</v>
      </c>
      <c r="Q200" s="104" t="s">
        <v>303</v>
      </c>
      <c r="S200" s="60">
        <v>3</v>
      </c>
      <c r="T200" s="63">
        <f>IF(O185=5, N202, O202)</f>
        <v>6.5862068965517242</v>
      </c>
      <c r="U200" s="60" t="str">
        <f>P202</f>
        <v>S  ≥  S₂</v>
      </c>
      <c r="V200" s="52"/>
      <c r="X200" s="52"/>
      <c r="Z200" s="52"/>
    </row>
    <row r="201" spans="1:26" s="47" customFormat="1" ht="15.95" hidden="1" customHeight="1" thickBot="1" x14ac:dyDescent="0.2">
      <c r="A201" s="24"/>
      <c r="B201" s="36" t="s">
        <v>319</v>
      </c>
      <c r="C201" s="20" t="s">
        <v>4</v>
      </c>
      <c r="D201" s="24">
        <f>T202</f>
        <v>6.5862068965517242</v>
      </c>
      <c r="E201" s="29" t="s">
        <v>187</v>
      </c>
      <c r="F201" s="24"/>
      <c r="G201" s="24"/>
      <c r="H201" s="24"/>
      <c r="I201" s="24"/>
      <c r="J201" s="24"/>
      <c r="K201" s="24"/>
      <c r="L201" s="24"/>
      <c r="M201" s="24"/>
      <c r="N201" s="58">
        <v>50</v>
      </c>
      <c r="O201" s="58">
        <v>39</v>
      </c>
      <c r="P201" s="37" t="s">
        <v>306</v>
      </c>
      <c r="Q201" s="55" t="s">
        <v>307</v>
      </c>
      <c r="V201" s="52"/>
      <c r="X201" s="52"/>
      <c r="Z201" s="52"/>
    </row>
    <row r="202" spans="1:26" s="47" customFormat="1" ht="15.95" hidden="1" customHeight="1" thickBot="1" x14ac:dyDescent="0.2">
      <c r="A202" s="24"/>
      <c r="B202" s="43"/>
      <c r="C202" s="20" t="s">
        <v>4</v>
      </c>
      <c r="D202" s="29">
        <f>D201*6.894757</f>
        <v>45.410296103448275</v>
      </c>
      <c r="E202" s="29" t="s">
        <v>457</v>
      </c>
      <c r="F202" s="24"/>
      <c r="G202" s="24"/>
      <c r="H202" s="24"/>
      <c r="I202" s="24"/>
      <c r="J202" s="24"/>
      <c r="K202" s="24"/>
      <c r="L202" s="24"/>
      <c r="M202" s="24"/>
      <c r="N202" s="64">
        <f>382/D200</f>
        <v>6.5862068965517242</v>
      </c>
      <c r="O202" s="64">
        <f>484/D200</f>
        <v>8.3448275862068968</v>
      </c>
      <c r="P202" s="37" t="s">
        <v>309</v>
      </c>
      <c r="Q202" s="60">
        <f>D200</f>
        <v>58</v>
      </c>
      <c r="S202" s="105">
        <f>IF(Q202&lt;=Q199,1,IF(AND(Q202&gt;Q199,Q202&lt;R199),2,3))</f>
        <v>3</v>
      </c>
      <c r="T202" s="65">
        <f>VLOOKUP(S202, S198:T200, 2, FALSE)</f>
        <v>6.5862068965517242</v>
      </c>
      <c r="U202" s="66" t="str">
        <f>VLOOKUP(S202,S198:U200, 3, FALSE)</f>
        <v>S  ≥  S₂</v>
      </c>
      <c r="V202" s="52"/>
      <c r="X202" s="52"/>
      <c r="Z202" s="52"/>
    </row>
    <row r="203" spans="1:26" s="47" customFormat="1" ht="15.95" hidden="1" customHeight="1" x14ac:dyDescent="0.15">
      <c r="A203" s="24"/>
      <c r="C203" s="20"/>
      <c r="D203" s="29"/>
      <c r="E203" s="29"/>
      <c r="F203" s="38"/>
      <c r="G203" s="38"/>
      <c r="H203" s="38"/>
      <c r="I203" s="24"/>
      <c r="J203" s="24"/>
      <c r="K203" s="24"/>
      <c r="L203" s="24"/>
      <c r="M203" s="24"/>
      <c r="V203" s="52"/>
      <c r="X203" s="52"/>
      <c r="Z203" s="52"/>
    </row>
    <row r="204" spans="1:26" s="47" customFormat="1" ht="15.95" hidden="1" customHeight="1" x14ac:dyDescent="0.15">
      <c r="A204" s="24"/>
      <c r="B204" s="49" t="s">
        <v>310</v>
      </c>
      <c r="C204" s="49"/>
      <c r="D204" s="156"/>
      <c r="E204" s="156"/>
      <c r="F204" s="49"/>
      <c r="G204" s="50" t="s">
        <v>324</v>
      </c>
      <c r="H204" s="101"/>
      <c r="I204" s="24"/>
      <c r="J204" s="49"/>
      <c r="K204" s="24"/>
      <c r="L204" s="24"/>
      <c r="M204" s="24"/>
      <c r="N204" s="52" t="s">
        <v>291</v>
      </c>
      <c r="O204" s="360">
        <v>18</v>
      </c>
      <c r="P204" s="24"/>
      <c r="S204" s="24"/>
      <c r="V204" s="52"/>
      <c r="X204" s="52"/>
      <c r="Z204" s="52"/>
    </row>
    <row r="205" spans="1:26" s="47" customFormat="1" ht="15.95" hidden="1" customHeight="1" x14ac:dyDescent="0.15">
      <c r="A205" s="24"/>
      <c r="B205" s="49"/>
      <c r="C205" s="49"/>
      <c r="D205" s="156"/>
      <c r="E205" s="156"/>
      <c r="F205" s="49"/>
      <c r="G205" s="49"/>
      <c r="H205" s="49"/>
      <c r="I205" s="24"/>
      <c r="J205" s="49"/>
      <c r="K205" s="24"/>
      <c r="L205" s="24"/>
      <c r="M205" s="38" t="s">
        <v>292</v>
      </c>
      <c r="N205" s="103">
        <v>5</v>
      </c>
      <c r="O205" s="103">
        <v>6</v>
      </c>
      <c r="Q205" s="702" t="s">
        <v>293</v>
      </c>
      <c r="R205" s="703"/>
      <c r="S205" s="704" t="s">
        <v>328</v>
      </c>
      <c r="T205" s="705"/>
      <c r="U205" s="706"/>
      <c r="V205" s="52"/>
      <c r="X205" s="52"/>
      <c r="Z205" s="52"/>
    </row>
    <row r="206" spans="1:26" s="47" customFormat="1" ht="15.95" hidden="1" customHeight="1" x14ac:dyDescent="0.15">
      <c r="A206" s="24"/>
      <c r="B206" s="36" t="s">
        <v>76</v>
      </c>
      <c r="C206" s="20" t="s">
        <v>4</v>
      </c>
      <c r="D206" s="23">
        <f>R40</f>
        <v>56</v>
      </c>
      <c r="E206" s="29" t="s">
        <v>479</v>
      </c>
      <c r="F206" s="24"/>
      <c r="G206" s="36" t="str">
        <f>U210</f>
        <v>S  ≤  S₁</v>
      </c>
      <c r="K206" s="24"/>
      <c r="L206" s="24"/>
      <c r="M206" s="24"/>
      <c r="N206" s="53">
        <v>12.6</v>
      </c>
      <c r="O206" s="53">
        <v>19.7</v>
      </c>
      <c r="P206" s="37" t="s">
        <v>296</v>
      </c>
      <c r="Q206" s="54" t="s">
        <v>297</v>
      </c>
      <c r="R206" s="55" t="s">
        <v>298</v>
      </c>
      <c r="S206" s="55">
        <v>1</v>
      </c>
      <c r="T206" s="56">
        <f>IF(O185=5, N206, O206)</f>
        <v>12.6</v>
      </c>
      <c r="U206" s="55" t="str">
        <f>P206</f>
        <v>S  ≤  S₁</v>
      </c>
      <c r="V206" s="52"/>
      <c r="X206" s="52"/>
      <c r="Z206" s="52"/>
    </row>
    <row r="207" spans="1:26" s="47" customFormat="1" ht="15.95" hidden="1" customHeight="1" x14ac:dyDescent="0.15">
      <c r="A207" s="24"/>
      <c r="B207" s="36" t="s">
        <v>333</v>
      </c>
      <c r="C207" s="20" t="s">
        <v>4</v>
      </c>
      <c r="D207" s="23">
        <f>R42</f>
        <v>2</v>
      </c>
      <c r="E207" s="29" t="s">
        <v>479</v>
      </c>
      <c r="F207" s="24"/>
      <c r="H207" s="24"/>
      <c r="I207" s="24"/>
      <c r="J207" s="24"/>
      <c r="K207" s="24"/>
      <c r="L207" s="24"/>
      <c r="M207" s="24"/>
      <c r="N207" s="58">
        <v>61</v>
      </c>
      <c r="O207" s="58">
        <v>54.9</v>
      </c>
      <c r="P207" s="37" t="s">
        <v>301</v>
      </c>
      <c r="Q207" s="59">
        <f>IF(O185=5, N207,O207)</f>
        <v>61</v>
      </c>
      <c r="R207" s="60">
        <f>IF(O185=5,N209,O209)</f>
        <v>115</v>
      </c>
      <c r="S207" s="62">
        <v>2</v>
      </c>
      <c r="T207" s="61">
        <f>IF(O185=5, N208, O208)</f>
        <v>15.028000000000002</v>
      </c>
      <c r="U207" s="62" t="str">
        <f>P208</f>
        <v>S₁&lt;  S  &lt; S₂</v>
      </c>
      <c r="V207" s="52"/>
      <c r="X207" s="52"/>
      <c r="Z207" s="52"/>
    </row>
    <row r="208" spans="1:26" s="47" customFormat="1" ht="15.95" hidden="1" customHeight="1" x14ac:dyDescent="0.15">
      <c r="A208" s="24"/>
      <c r="B208" s="36" t="s">
        <v>357</v>
      </c>
      <c r="C208" s="20" t="s">
        <v>4</v>
      </c>
      <c r="D208" s="23">
        <f>D206/D207</f>
        <v>28</v>
      </c>
      <c r="E208" s="29"/>
      <c r="F208" s="24"/>
      <c r="H208" s="24"/>
      <c r="I208" s="24"/>
      <c r="J208" s="24"/>
      <c r="K208" s="24"/>
      <c r="L208" s="24"/>
      <c r="M208" s="24"/>
      <c r="N208" s="58">
        <f>17.1-0.074*D208</f>
        <v>15.028000000000002</v>
      </c>
      <c r="O208" s="58">
        <f>27.9-0.15*(D208)</f>
        <v>23.7</v>
      </c>
      <c r="P208" s="37" t="s">
        <v>302</v>
      </c>
      <c r="Q208" s="104" t="s">
        <v>303</v>
      </c>
      <c r="S208" s="60">
        <v>3</v>
      </c>
      <c r="T208" s="63">
        <f>IF(O185=5, N210, O210)</f>
        <v>35.214285714285715</v>
      </c>
      <c r="U208" s="60" t="str">
        <f>P210</f>
        <v>S  ≥  S₂</v>
      </c>
      <c r="V208" s="52"/>
      <c r="X208" s="52"/>
      <c r="Z208" s="52"/>
    </row>
    <row r="209" spans="1:26" s="47" customFormat="1" ht="15.95" hidden="1" customHeight="1" thickBot="1" x14ac:dyDescent="0.2">
      <c r="A209" s="24"/>
      <c r="B209" s="36" t="s">
        <v>335</v>
      </c>
      <c r="C209" s="20" t="s">
        <v>4</v>
      </c>
      <c r="D209" s="24">
        <f>T210</f>
        <v>12.6</v>
      </c>
      <c r="E209" s="29" t="s">
        <v>187</v>
      </c>
      <c r="F209" s="24"/>
      <c r="G209" s="24"/>
      <c r="H209" s="24"/>
      <c r="I209" s="24"/>
      <c r="J209" s="24"/>
      <c r="K209" s="24"/>
      <c r="L209" s="24"/>
      <c r="M209" s="24"/>
      <c r="N209" s="58">
        <v>115</v>
      </c>
      <c r="O209" s="58">
        <v>93</v>
      </c>
      <c r="P209" s="37" t="s">
        <v>306</v>
      </c>
      <c r="Q209" s="55" t="s">
        <v>307</v>
      </c>
      <c r="V209" s="52"/>
      <c r="X209" s="52"/>
      <c r="Z209" s="52"/>
    </row>
    <row r="210" spans="1:26" s="47" customFormat="1" ht="15.95" hidden="1" customHeight="1" thickBot="1" x14ac:dyDescent="0.2">
      <c r="A210" s="24"/>
      <c r="B210" s="38"/>
      <c r="C210" s="20" t="s">
        <v>4</v>
      </c>
      <c r="D210" s="29">
        <f>D209*6.894757</f>
        <v>86.873938199999998</v>
      </c>
      <c r="E210" s="29" t="s">
        <v>457</v>
      </c>
      <c r="F210" s="24"/>
      <c r="G210" s="24"/>
      <c r="H210" s="24"/>
      <c r="I210" s="24"/>
      <c r="J210" s="24"/>
      <c r="K210" s="24"/>
      <c r="L210" s="24"/>
      <c r="M210" s="24"/>
      <c r="N210" s="64">
        <f>986/D208</f>
        <v>35.214285714285715</v>
      </c>
      <c r="O210" s="64">
        <f>1298/D208</f>
        <v>46.357142857142854</v>
      </c>
      <c r="P210" s="37" t="s">
        <v>309</v>
      </c>
      <c r="Q210" s="60">
        <f>D208</f>
        <v>28</v>
      </c>
      <c r="S210" s="105">
        <f>IF(Q210&lt;=Q207,1,IF(AND(Q210&gt;Q207,Q210&lt;=R207),2,3))</f>
        <v>1</v>
      </c>
      <c r="T210" s="65">
        <f>VLOOKUP(S210, S206:T208, 2, FALSE)</f>
        <v>12.6</v>
      </c>
      <c r="U210" s="66" t="str">
        <f>VLOOKUP(S210,S206:U208, 3, FALSE)</f>
        <v>S  ≤  S₁</v>
      </c>
      <c r="V210" s="52"/>
      <c r="X210" s="52"/>
      <c r="Z210" s="52"/>
    </row>
    <row r="211" spans="1:26" s="47" customFormat="1" ht="15.95" hidden="1" customHeight="1" x14ac:dyDescent="0.15">
      <c r="A211" s="24"/>
      <c r="B211" s="24"/>
      <c r="C211" s="24"/>
      <c r="D211" s="29"/>
      <c r="E211" s="29"/>
      <c r="F211" s="24"/>
      <c r="G211" s="24"/>
      <c r="H211" s="24"/>
      <c r="I211" s="24"/>
      <c r="J211" s="24"/>
      <c r="K211" s="24"/>
      <c r="L211" s="24"/>
      <c r="M211" s="24"/>
      <c r="N211" s="37"/>
      <c r="V211" s="52"/>
      <c r="X211" s="52"/>
      <c r="Z211" s="52"/>
    </row>
    <row r="212" spans="1:26" s="47" customFormat="1" ht="15.95" hidden="1" customHeight="1" x14ac:dyDescent="0.15">
      <c r="A212" s="24"/>
      <c r="B212" s="35" t="s">
        <v>336</v>
      </c>
      <c r="C212" s="24"/>
      <c r="D212" s="29"/>
      <c r="E212" s="19" t="s">
        <v>337</v>
      </c>
      <c r="F212" s="24" t="s">
        <v>338</v>
      </c>
      <c r="G212" s="24"/>
      <c r="H212" s="24"/>
      <c r="I212" s="24"/>
      <c r="J212" s="24"/>
      <c r="K212" s="24"/>
      <c r="L212" s="24"/>
      <c r="M212" s="24"/>
      <c r="N212" s="37"/>
      <c r="V212" s="52"/>
      <c r="X212" s="52"/>
      <c r="Z212" s="52"/>
    </row>
    <row r="213" spans="1:26" s="47" customFormat="1" ht="15.95" hidden="1" customHeight="1" x14ac:dyDescent="0.15">
      <c r="A213" s="24"/>
      <c r="B213" s="35"/>
      <c r="C213" s="24"/>
      <c r="D213" s="29"/>
      <c r="E213" s="29"/>
      <c r="F213" s="24"/>
      <c r="G213" s="24"/>
      <c r="H213" s="24"/>
      <c r="I213" s="24"/>
      <c r="J213" s="24"/>
      <c r="K213" s="24"/>
      <c r="L213" s="24"/>
      <c r="M213" s="24"/>
      <c r="N213" s="37"/>
      <c r="V213" s="52"/>
      <c r="X213" s="52"/>
      <c r="Z213" s="52"/>
    </row>
    <row r="214" spans="1:26" s="47" customFormat="1" ht="15.95" hidden="1" customHeight="1" x14ac:dyDescent="0.15">
      <c r="A214" s="24"/>
      <c r="B214" s="36" t="s">
        <v>135</v>
      </c>
      <c r="C214" s="20" t="s">
        <v>4</v>
      </c>
      <c r="D214" s="695" t="s">
        <v>1133</v>
      </c>
      <c r="E214" s="695"/>
      <c r="F214" s="24"/>
      <c r="G214" s="24"/>
      <c r="H214" s="24"/>
      <c r="I214" s="24"/>
      <c r="J214" s="24"/>
      <c r="K214" s="24"/>
      <c r="L214" s="24"/>
      <c r="M214" s="24"/>
      <c r="N214" s="24"/>
      <c r="O214" s="24"/>
      <c r="P214" s="24"/>
      <c r="V214" s="52"/>
      <c r="X214" s="52"/>
      <c r="Z214" s="52"/>
    </row>
    <row r="215" spans="1:26" s="47" customFormat="1" ht="15.95" hidden="1" customHeight="1" x14ac:dyDescent="0.15">
      <c r="A215" s="24"/>
      <c r="B215" s="38"/>
      <c r="C215" s="20" t="s">
        <v>4</v>
      </c>
      <c r="D215" s="23">
        <f>D14/D44</f>
        <v>21.078817397285228</v>
      </c>
      <c r="E215" s="29" t="s">
        <v>457</v>
      </c>
      <c r="F215" s="24"/>
      <c r="G215" s="24"/>
      <c r="H215" s="24"/>
      <c r="I215" s="24"/>
      <c r="J215" s="24"/>
      <c r="K215" s="24"/>
      <c r="L215" s="24"/>
      <c r="M215" s="24"/>
      <c r="N215" s="24"/>
      <c r="O215" s="24"/>
      <c r="P215" s="24"/>
      <c r="V215" s="52"/>
      <c r="X215" s="52"/>
      <c r="Z215" s="52"/>
    </row>
    <row r="216" spans="1:26" s="47" customFormat="1" ht="15.95" hidden="1" customHeight="1" x14ac:dyDescent="0.15">
      <c r="A216" s="24"/>
      <c r="B216" s="36" t="s">
        <v>139</v>
      </c>
      <c r="C216" s="20" t="s">
        <v>4</v>
      </c>
      <c r="D216" s="22" t="s">
        <v>341</v>
      </c>
      <c r="E216" s="157"/>
      <c r="F216" s="36"/>
      <c r="H216" s="24"/>
      <c r="I216" s="24"/>
      <c r="J216" s="24"/>
      <c r="K216" s="24"/>
      <c r="L216" s="24"/>
      <c r="M216" s="24"/>
      <c r="N216" s="24"/>
      <c r="O216" s="24"/>
      <c r="P216" s="24"/>
      <c r="V216" s="52"/>
      <c r="X216" s="52"/>
      <c r="Z216" s="52"/>
    </row>
    <row r="217" spans="1:26" s="47" customFormat="1" ht="15.95" hidden="1" customHeight="1" x14ac:dyDescent="0.15">
      <c r="A217" s="24"/>
      <c r="B217" s="43"/>
      <c r="C217" s="20" t="s">
        <v>4</v>
      </c>
      <c r="D217" s="67">
        <f>MIN(D194,D202,D210)</f>
        <v>45.410296103448275</v>
      </c>
      <c r="E217" s="29" t="s">
        <v>457</v>
      </c>
      <c r="F217" s="24"/>
      <c r="G217" s="38"/>
      <c r="H217" s="43"/>
      <c r="I217" s="38"/>
      <c r="J217" s="24"/>
      <c r="K217" s="24"/>
      <c r="L217" s="24"/>
      <c r="M217" s="24"/>
      <c r="N217" s="24"/>
      <c r="O217" s="24"/>
      <c r="P217" s="24"/>
      <c r="V217" s="52"/>
      <c r="X217" s="52"/>
      <c r="Z217" s="52"/>
    </row>
    <row r="218" spans="1:26" s="47" customFormat="1" ht="15.95" hidden="1" customHeight="1" x14ac:dyDescent="0.15">
      <c r="A218" s="24"/>
      <c r="C218" s="20"/>
      <c r="F218" s="24"/>
      <c r="G218" s="24"/>
      <c r="H218" s="24"/>
      <c r="I218" s="24"/>
      <c r="J218" s="24"/>
      <c r="K218" s="24"/>
      <c r="L218" s="24"/>
      <c r="M218" s="24"/>
      <c r="N218" s="24"/>
      <c r="O218" s="24"/>
      <c r="P218" s="24"/>
      <c r="V218" s="52"/>
      <c r="X218" s="52"/>
      <c r="Z218" s="52"/>
    </row>
    <row r="219" spans="1:26" ht="15.95" hidden="1" customHeight="1" x14ac:dyDescent="0.15"/>
    <row r="220" spans="1:26" ht="15.95" hidden="1" customHeight="1" x14ac:dyDescent="0.15">
      <c r="B220" s="35" t="s">
        <v>142</v>
      </c>
    </row>
    <row r="221" spans="1:26" ht="15.95" hidden="1" customHeight="1" x14ac:dyDescent="0.15"/>
    <row r="222" spans="1:26" ht="15.95" hidden="1" customHeight="1" x14ac:dyDescent="0.15">
      <c r="B222" s="36" t="s">
        <v>358</v>
      </c>
      <c r="C222" s="20" t="s">
        <v>4</v>
      </c>
      <c r="D222" s="38">
        <f>D215/D217</f>
        <v>0.46418586104935322</v>
      </c>
      <c r="E222" s="39" t="str">
        <f>IF(D222&gt;F222,"&gt;","&lt;")</f>
        <v>&lt;</v>
      </c>
      <c r="F222" s="19">
        <v>1</v>
      </c>
      <c r="G222" s="107" t="str">
        <f>IF(D222&lt;F222,"O.K.","N.G.")</f>
        <v>O.K.</v>
      </c>
    </row>
    <row r="223" spans="1:26" ht="15.95" hidden="1" customHeight="1" x14ac:dyDescent="0.15">
      <c r="B223" s="68"/>
      <c r="D223" s="43"/>
    </row>
    <row r="224" spans="1:26" ht="15.95" hidden="1" customHeight="1" x14ac:dyDescent="0.15">
      <c r="A224" s="43"/>
      <c r="B224" s="43"/>
      <c r="C224" s="43"/>
      <c r="D224" s="43"/>
      <c r="E224" s="43"/>
      <c r="F224" s="49"/>
      <c r="G224" s="43"/>
      <c r="H224" s="43"/>
      <c r="I224" s="43"/>
      <c r="J224" s="43"/>
      <c r="K224" s="43"/>
      <c r="L224" s="43"/>
      <c r="M224" s="43"/>
      <c r="N224" s="20"/>
    </row>
    <row r="225" spans="1:14" ht="15.95" hidden="1" customHeight="1" x14ac:dyDescent="0.15">
      <c r="A225" s="43"/>
      <c r="B225" s="43"/>
      <c r="C225" s="43"/>
      <c r="D225" s="43"/>
      <c r="E225" s="43"/>
      <c r="F225" s="43"/>
      <c r="G225" s="43"/>
      <c r="H225" s="43"/>
      <c r="I225" s="43"/>
      <c r="J225" s="43"/>
      <c r="K225" s="43"/>
      <c r="L225" s="43"/>
      <c r="M225" s="43"/>
      <c r="N225" s="20"/>
    </row>
    <row r="226" spans="1:14" ht="15.95" hidden="1" customHeight="1" x14ac:dyDescent="0.15">
      <c r="A226" s="43"/>
      <c r="B226" s="43"/>
      <c r="C226" s="43"/>
      <c r="D226" s="43"/>
      <c r="E226" s="43"/>
      <c r="F226" s="43"/>
      <c r="G226" s="43"/>
      <c r="H226" s="43"/>
      <c r="I226" s="43"/>
      <c r="J226" s="43"/>
      <c r="K226" s="43"/>
      <c r="L226" s="43"/>
      <c r="M226" s="43"/>
      <c r="N226" s="20"/>
    </row>
    <row r="227" spans="1:14" ht="15.95" hidden="1" customHeight="1" x14ac:dyDescent="0.15">
      <c r="B227" s="49"/>
      <c r="D227" s="43"/>
    </row>
    <row r="228" spans="1:14" ht="15.95" hidden="1" customHeight="1" x14ac:dyDescent="0.15">
      <c r="B228" s="49"/>
      <c r="D228" s="43"/>
    </row>
    <row r="229" spans="1:14" ht="15.95" hidden="1" customHeight="1" x14ac:dyDescent="0.15">
      <c r="B229" s="49"/>
      <c r="D229" s="43"/>
    </row>
    <row r="230" spans="1:14" ht="15.95" hidden="1" customHeight="1" x14ac:dyDescent="0.15">
      <c r="B230" s="49"/>
      <c r="D230" s="43"/>
    </row>
    <row r="231" spans="1:14" ht="15.95" hidden="1" customHeight="1" x14ac:dyDescent="0.15">
      <c r="B231" s="40" t="s">
        <v>145</v>
      </c>
    </row>
    <row r="232" spans="1:14" ht="15.95" hidden="1" customHeight="1" x14ac:dyDescent="0.15"/>
    <row r="233" spans="1:14" ht="15.95" hidden="1" customHeight="1" x14ac:dyDescent="0.15">
      <c r="B233" s="35" t="s">
        <v>147</v>
      </c>
    </row>
    <row r="234" spans="1:14" ht="15.95" hidden="1" customHeight="1" x14ac:dyDescent="0.15">
      <c r="B234" s="35"/>
    </row>
    <row r="235" spans="1:14" ht="15.95" hidden="1" customHeight="1" x14ac:dyDescent="0.15">
      <c r="B235" s="78" t="s">
        <v>120</v>
      </c>
      <c r="C235" s="20" t="s">
        <v>4</v>
      </c>
      <c r="D235" s="24">
        <f>D16</f>
        <v>21.326323845919688</v>
      </c>
      <c r="E235" s="29" t="s">
        <v>479</v>
      </c>
    </row>
    <row r="236" spans="1:14" ht="15.95" hidden="1" customHeight="1" x14ac:dyDescent="0.15"/>
    <row r="237" spans="1:14" ht="15.95" hidden="1" customHeight="1" x14ac:dyDescent="0.15"/>
    <row r="238" spans="1:14" ht="15.95" hidden="1" customHeight="1" x14ac:dyDescent="0.15">
      <c r="B238" s="35" t="s">
        <v>146</v>
      </c>
      <c r="E238" s="42" t="s">
        <v>150</v>
      </c>
    </row>
    <row r="239" spans="1:14" ht="15.95" hidden="1" customHeight="1" x14ac:dyDescent="0.15">
      <c r="B239" s="35"/>
    </row>
    <row r="240" spans="1:14" ht="15.95" hidden="1" customHeight="1" x14ac:dyDescent="0.15">
      <c r="B240" s="78" t="s">
        <v>2</v>
      </c>
      <c r="C240" s="20" t="s">
        <v>4</v>
      </c>
      <c r="D240" s="167">
        <f>D9</f>
        <v>5000</v>
      </c>
      <c r="E240" s="24" t="str">
        <f>IF(D240&gt;4110,"mm      &gt;     4110 mm","mm     ≤     4110 mm")</f>
        <v>mm      &gt;     4110 mm</v>
      </c>
      <c r="M240" s="43" t="s">
        <v>151</v>
      </c>
      <c r="N240" s="41">
        <f>D240/240+6.35</f>
        <v>27.18333333333333</v>
      </c>
    </row>
    <row r="241" spans="1:26" ht="15.95" hidden="1" customHeight="1" x14ac:dyDescent="0.15">
      <c r="B241" s="78" t="s">
        <v>148</v>
      </c>
      <c r="C241" s="20" t="s">
        <v>4</v>
      </c>
      <c r="D241" s="177">
        <f>D240</f>
        <v>5000</v>
      </c>
      <c r="E241" s="35" t="str">
        <f>IF(D240&lt;4110,"mm      /     175","mm      /      240 + 6.35 mm ")</f>
        <v xml:space="preserve">mm      /      240 + 6.35 mm </v>
      </c>
      <c r="M241" s="43" t="s">
        <v>152</v>
      </c>
      <c r="N241" s="41">
        <f>D240/175</f>
        <v>28.571428571428573</v>
      </c>
    </row>
    <row r="242" spans="1:26" ht="15.95" hidden="1" customHeight="1" x14ac:dyDescent="0.15">
      <c r="B242" s="38"/>
      <c r="C242" s="20" t="s">
        <v>4</v>
      </c>
      <c r="D242" s="38">
        <f>IF(D240&gt;4110,N240,N241)</f>
        <v>27.18333333333333</v>
      </c>
      <c r="E242" s="24" t="s">
        <v>468</v>
      </c>
    </row>
    <row r="243" spans="1:26" ht="15.95" hidden="1" customHeight="1" x14ac:dyDescent="0.15"/>
    <row r="244" spans="1:26" ht="15.95" hidden="1" customHeight="1" x14ac:dyDescent="0.15"/>
    <row r="245" spans="1:26" ht="15.95" hidden="1" customHeight="1" x14ac:dyDescent="0.15">
      <c r="B245" s="35" t="s">
        <v>153</v>
      </c>
    </row>
    <row r="246" spans="1:26" s="20" customFormat="1" ht="15.95" hidden="1" customHeight="1" x14ac:dyDescent="0.15">
      <c r="A246" s="43"/>
      <c r="C246" s="43"/>
      <c r="D246" s="43"/>
      <c r="E246" s="43"/>
      <c r="F246" s="43"/>
      <c r="G246" s="43"/>
      <c r="H246" s="43"/>
      <c r="I246" s="43"/>
      <c r="J246" s="43"/>
      <c r="K246" s="43"/>
      <c r="L246" s="43"/>
      <c r="M246" s="43"/>
      <c r="O246" s="24"/>
      <c r="P246" s="24"/>
      <c r="Q246" s="24"/>
      <c r="R246" s="24"/>
      <c r="S246" s="24"/>
      <c r="T246" s="24"/>
      <c r="U246" s="24"/>
      <c r="V246" s="38"/>
      <c r="X246" s="38"/>
      <c r="Z246" s="38"/>
    </row>
    <row r="247" spans="1:26" s="20" customFormat="1" ht="15.95" hidden="1" customHeight="1" x14ac:dyDescent="0.15">
      <c r="A247" s="24"/>
      <c r="B247" s="36" t="s">
        <v>359</v>
      </c>
      <c r="C247" s="20" t="s">
        <v>4</v>
      </c>
      <c r="D247" s="38">
        <f>D235/(D242)</f>
        <v>0.78453674479165014</v>
      </c>
      <c r="E247" s="39" t="str">
        <f>IF(D247&gt;F247,"&gt;","&lt;")</f>
        <v>&lt;</v>
      </c>
      <c r="F247" s="19">
        <v>1</v>
      </c>
      <c r="G247" s="107" t="str">
        <f>IF(D247&lt;F247,"O.K.","N.G.")</f>
        <v>O.K.</v>
      </c>
      <c r="I247" s="43"/>
      <c r="J247" s="43"/>
      <c r="K247" s="43"/>
      <c r="L247" s="43"/>
      <c r="M247" s="43"/>
      <c r="O247" s="24"/>
      <c r="P247" s="24"/>
      <c r="Q247" s="24"/>
      <c r="R247" s="24"/>
      <c r="S247" s="24"/>
      <c r="T247" s="24"/>
      <c r="U247" s="24"/>
      <c r="V247" s="38"/>
      <c r="X247" s="38"/>
      <c r="Z247" s="38"/>
    </row>
    <row r="248" spans="1:26" ht="15.95" hidden="1" customHeight="1" x14ac:dyDescent="0.15"/>
    <row r="249" spans="1:26" ht="15.95" hidden="1" customHeight="1" x14ac:dyDescent="0.15"/>
    <row r="250" spans="1:26" ht="15.95" hidden="1" customHeight="1" x14ac:dyDescent="0.15"/>
    <row r="251" spans="1:26" ht="15.95" hidden="1" customHeight="1" x14ac:dyDescent="0.15"/>
  </sheetData>
  <sheetProtection algorithmName="SHA-512" hashValue="O2qO6u6xOGnaaJd5yvszcN/5pDUa2qLxZ+SFj8ddRNXEcaUYfqYmKMTumF0U6p/7H1QvhyErALMbC7TzNs1R3A==" saltValue="30xrI18ReXHxtw7pyf1dLQ==" spinCount="100000" sheet="1" objects="1" scenarios="1" selectLockedCells="1"/>
  <protectedRanges>
    <protectedRange sqref="D7:D10 D12" name="범위1_2"/>
  </protectedRanges>
  <mergeCells count="15">
    <mergeCell ref="N11:O11"/>
    <mergeCell ref="N12:O12"/>
    <mergeCell ref="N15:O15"/>
    <mergeCell ref="N16:O16"/>
    <mergeCell ref="N13:N14"/>
    <mergeCell ref="O13:O14"/>
    <mergeCell ref="Q205:R205"/>
    <mergeCell ref="S205:U205"/>
    <mergeCell ref="D214:E214"/>
    <mergeCell ref="G22:K45"/>
    <mergeCell ref="Q188:R188"/>
    <mergeCell ref="S188:U188"/>
    <mergeCell ref="Q197:R197"/>
    <mergeCell ref="S197:U197"/>
    <mergeCell ref="B46:K46"/>
  </mergeCells>
  <phoneticPr fontId="2" type="noConversion"/>
  <pageMargins left="0.51181102362204722" right="0.51181102362204722" top="0.78740157480314965" bottom="0.59055118110236227" header="0.39370078740157483" footer="0.39370078740157483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1449A3-4976-41CD-9942-BEEA9A65DB86}">
  <sheetPr codeName="Sheet2"/>
  <dimension ref="A1:AF156"/>
  <sheetViews>
    <sheetView view="pageBreakPreview" topLeftCell="A4" zoomScale="145" zoomScaleNormal="100" zoomScaleSheetLayoutView="145" workbookViewId="0">
      <selection activeCell="F12" sqref="F12"/>
    </sheetView>
  </sheetViews>
  <sheetFormatPr defaultColWidth="5.77734375" defaultRowHeight="14.25" x14ac:dyDescent="0.15"/>
  <cols>
    <col min="1" max="2" width="2.77734375" style="17" customWidth="1"/>
    <col min="3" max="9" width="7.33203125" style="17" customWidth="1"/>
    <col min="10" max="11" width="7.33203125" style="18" customWidth="1"/>
    <col min="12" max="12" width="5.33203125" style="18" customWidth="1"/>
    <col min="13" max="13" width="2.77734375" style="18" customWidth="1"/>
    <col min="14" max="16" width="6.77734375" style="17" customWidth="1"/>
    <col min="17" max="17" width="6.77734375" style="17" hidden="1" customWidth="1"/>
    <col min="18" max="26" width="5.77734375" style="17" hidden="1" customWidth="1"/>
    <col min="27" max="32" width="5.77734375" style="17" customWidth="1"/>
    <col min="33" max="16384" width="5.77734375" style="17"/>
  </cols>
  <sheetData>
    <row r="1" spans="1:17" s="2" customFormat="1" ht="32.1" customHeight="1" x14ac:dyDescent="0.15">
      <c r="A1" s="1"/>
      <c r="B1" s="365" t="s">
        <v>412</v>
      </c>
      <c r="C1" s="365"/>
      <c r="D1" s="365"/>
      <c r="E1" s="365"/>
      <c r="F1" s="365"/>
      <c r="G1" s="365"/>
      <c r="H1" s="365"/>
      <c r="I1" s="365"/>
      <c r="J1" s="365"/>
      <c r="K1" s="365"/>
      <c r="L1" s="365"/>
      <c r="M1" s="365"/>
      <c r="O1" s="7"/>
      <c r="P1" s="7"/>
      <c r="Q1" s="7"/>
    </row>
    <row r="2" spans="1:17" s="2" customFormat="1" ht="15.95" customHeight="1" x14ac:dyDescent="0.15">
      <c r="A2" s="1"/>
      <c r="B2" s="365"/>
      <c r="C2" s="365"/>
      <c r="D2" s="365"/>
      <c r="E2" s="365"/>
      <c r="F2" s="365"/>
      <c r="G2" s="365"/>
      <c r="H2" s="365"/>
      <c r="I2" s="365"/>
      <c r="J2" s="365"/>
      <c r="K2" s="365"/>
      <c r="L2" s="365"/>
      <c r="M2" s="365"/>
      <c r="O2" s="7"/>
      <c r="P2" s="7"/>
      <c r="Q2" s="7"/>
    </row>
    <row r="3" spans="1:17" s="7" customFormat="1" ht="15.95" customHeight="1" x14ac:dyDescent="0.15">
      <c r="A3" s="358"/>
      <c r="B3" s="8" t="s">
        <v>12</v>
      </c>
      <c r="C3" s="358" t="s">
        <v>1005</v>
      </c>
      <c r="D3" s="358"/>
      <c r="E3" s="358"/>
      <c r="F3" s="358"/>
      <c r="G3" s="358"/>
      <c r="H3" s="358"/>
      <c r="I3" s="359"/>
      <c r="J3" s="358"/>
      <c r="K3" s="358"/>
      <c r="L3" s="358"/>
      <c r="M3" s="358"/>
    </row>
    <row r="4" spans="1:17" s="7" customFormat="1" ht="15.95" customHeight="1" x14ac:dyDescent="0.15">
      <c r="A4" s="373"/>
      <c r="B4" s="358"/>
      <c r="C4" s="16"/>
      <c r="D4" s="358"/>
      <c r="E4" s="358"/>
      <c r="F4" s="358"/>
      <c r="G4" s="358"/>
      <c r="H4" s="358"/>
      <c r="I4" s="358"/>
      <c r="J4" s="358"/>
      <c r="K4" s="358"/>
      <c r="L4" s="358"/>
      <c r="M4" s="358"/>
    </row>
    <row r="5" spans="1:17" s="476" customFormat="1" ht="15.95" customHeight="1" x14ac:dyDescent="0.15">
      <c r="A5" s="372"/>
      <c r="B5" s="586" t="s">
        <v>13</v>
      </c>
      <c r="C5" s="372" t="s">
        <v>522</v>
      </c>
      <c r="D5" s="372"/>
      <c r="E5" s="372"/>
      <c r="F5" s="372"/>
      <c r="G5" s="372"/>
      <c r="H5" s="372"/>
      <c r="I5" s="372"/>
      <c r="J5" s="665" t="s">
        <v>1006</v>
      </c>
      <c r="K5" s="665"/>
      <c r="L5" s="665"/>
      <c r="M5" s="665"/>
      <c r="N5" s="7"/>
      <c r="O5" s="7"/>
      <c r="P5" s="7"/>
      <c r="Q5" s="7"/>
    </row>
    <row r="6" spans="1:17" s="6" customFormat="1" ht="15.95" customHeight="1" x14ac:dyDescent="0.15">
      <c r="A6" s="373"/>
      <c r="B6" s="586"/>
      <c r="C6" s="372"/>
      <c r="D6" s="373"/>
      <c r="E6" s="373"/>
      <c r="F6" s="373"/>
      <c r="G6" s="373"/>
      <c r="H6" s="373"/>
      <c r="I6" s="373"/>
      <c r="J6" s="373"/>
      <c r="K6" s="373"/>
      <c r="L6" s="373"/>
      <c r="M6" s="373"/>
      <c r="N6" s="7"/>
      <c r="O6" s="7"/>
      <c r="P6" s="7"/>
      <c r="Q6" s="7"/>
    </row>
    <row r="7" spans="1:17" s="6" customFormat="1" ht="15.95" customHeight="1" x14ac:dyDescent="0.15">
      <c r="A7" s="373"/>
      <c r="B7" s="12" t="s">
        <v>523</v>
      </c>
      <c r="C7" s="373"/>
      <c r="D7" s="373"/>
      <c r="E7" s="373"/>
      <c r="F7" s="373"/>
      <c r="G7" s="373"/>
      <c r="H7" s="373"/>
      <c r="I7" s="373"/>
      <c r="J7" s="373"/>
      <c r="K7" s="373"/>
      <c r="L7" s="373"/>
      <c r="M7" s="373"/>
      <c r="N7" s="7"/>
      <c r="O7" s="7"/>
      <c r="P7" s="7"/>
      <c r="Q7" s="7"/>
    </row>
    <row r="8" spans="1:17" s="6" customFormat="1" ht="15.95" customHeight="1" x14ac:dyDescent="0.15">
      <c r="A8" s="373"/>
      <c r="B8" s="12"/>
      <c r="C8" s="373"/>
      <c r="D8" s="373"/>
      <c r="E8" s="373"/>
      <c r="F8" s="373"/>
      <c r="G8" s="373"/>
      <c r="H8" s="373"/>
      <c r="I8" s="373"/>
      <c r="J8" s="373"/>
      <c r="K8" s="373"/>
      <c r="L8" s="373"/>
      <c r="M8" s="373"/>
      <c r="N8" s="7"/>
      <c r="O8" s="7"/>
      <c r="P8" s="7"/>
      <c r="Q8" s="7"/>
    </row>
    <row r="9" spans="1:17" s="7" customFormat="1" ht="15.95" customHeight="1" x14ac:dyDescent="0.15">
      <c r="A9" s="358"/>
      <c r="B9" s="8" t="s">
        <v>12</v>
      </c>
      <c r="C9" s="358" t="s">
        <v>16</v>
      </c>
      <c r="D9" s="358"/>
      <c r="E9" s="385" t="s">
        <v>17</v>
      </c>
      <c r="F9" s="359" t="str">
        <f>풍하중!F9</f>
        <v>서울 특별시</v>
      </c>
      <c r="G9" s="359"/>
      <c r="H9" s="358"/>
      <c r="I9" s="358"/>
      <c r="J9" s="358"/>
      <c r="K9" s="358"/>
      <c r="L9" s="358"/>
      <c r="M9" s="358"/>
      <c r="N9" s="681"/>
      <c r="O9" s="682"/>
      <c r="P9" s="682"/>
      <c r="Q9" s="478"/>
    </row>
    <row r="10" spans="1:17" s="7" customFormat="1" ht="15.95" customHeight="1" x14ac:dyDescent="0.15">
      <c r="A10" s="358"/>
      <c r="B10" s="8" t="s">
        <v>12</v>
      </c>
      <c r="C10" s="358" t="s">
        <v>1016</v>
      </c>
      <c r="D10" s="358"/>
      <c r="E10" s="385" t="s">
        <v>17</v>
      </c>
      <c r="F10" s="629">
        <f>풍하중!F10</f>
        <v>19</v>
      </c>
      <c r="G10" s="357" t="s">
        <v>18</v>
      </c>
      <c r="H10" s="358"/>
      <c r="I10" s="358"/>
      <c r="J10" s="358"/>
      <c r="K10" s="358"/>
      <c r="L10" s="358"/>
      <c r="M10" s="358"/>
    </row>
    <row r="11" spans="1:17" s="7" customFormat="1" ht="15.95" customHeight="1" x14ac:dyDescent="0.15">
      <c r="A11" s="358"/>
      <c r="B11" s="8"/>
      <c r="C11" s="358"/>
      <c r="D11" s="358"/>
      <c r="E11" s="385"/>
      <c r="F11" s="356"/>
      <c r="G11" s="357"/>
      <c r="H11" s="358"/>
      <c r="I11" s="358"/>
      <c r="J11" s="358"/>
      <c r="K11" s="358"/>
      <c r="L11" s="358"/>
      <c r="M11" s="358"/>
    </row>
    <row r="12" spans="1:17" s="7" customFormat="1" ht="15.95" customHeight="1" x14ac:dyDescent="0.15">
      <c r="A12" s="358"/>
      <c r="B12" s="8" t="s">
        <v>12</v>
      </c>
      <c r="C12" s="358" t="s">
        <v>1017</v>
      </c>
      <c r="D12" s="358"/>
      <c r="E12" s="385" t="s">
        <v>17</v>
      </c>
      <c r="F12" s="480">
        <f>풍하중!F12</f>
        <v>28</v>
      </c>
      <c r="G12" s="358" t="s">
        <v>20</v>
      </c>
      <c r="H12" s="358"/>
      <c r="I12" s="358"/>
      <c r="J12" s="358"/>
      <c r="K12" s="358"/>
      <c r="L12" s="358"/>
      <c r="M12" s="358"/>
    </row>
    <row r="13" spans="1:17" s="7" customFormat="1" ht="15.95" customHeight="1" x14ac:dyDescent="0.15">
      <c r="A13" s="358"/>
      <c r="B13" s="8" t="s">
        <v>12</v>
      </c>
      <c r="C13" s="358" t="s">
        <v>21</v>
      </c>
      <c r="D13" s="358"/>
      <c r="E13" s="385" t="s">
        <v>17</v>
      </c>
      <c r="F13" s="356" t="str">
        <f>풍하중!F13</f>
        <v>C</v>
      </c>
      <c r="G13" s="358"/>
      <c r="H13" s="358"/>
      <c r="I13" s="358"/>
      <c r="J13" s="358"/>
      <c r="K13" s="358"/>
      <c r="L13" s="358"/>
      <c r="M13" s="358"/>
      <c r="N13" s="588" t="s">
        <v>1018</v>
      </c>
    </row>
    <row r="14" spans="1:17" s="7" customFormat="1" ht="15.95" customHeight="1" x14ac:dyDescent="0.15">
      <c r="A14" s="358"/>
      <c r="B14" s="8" t="s">
        <v>12</v>
      </c>
      <c r="C14" s="7" t="s">
        <v>1008</v>
      </c>
      <c r="E14" s="478" t="s">
        <v>17</v>
      </c>
      <c r="F14" s="512">
        <f>풍하중!F14</f>
        <v>1</v>
      </c>
      <c r="G14" s="358"/>
      <c r="H14" s="358"/>
      <c r="I14" s="358"/>
    </row>
    <row r="15" spans="1:17" s="7" customFormat="1" ht="15.95" customHeight="1" x14ac:dyDescent="0.15">
      <c r="A15" s="358"/>
      <c r="B15" s="8" t="s">
        <v>12</v>
      </c>
      <c r="C15" s="358" t="s">
        <v>1019</v>
      </c>
      <c r="D15" s="358"/>
      <c r="E15" s="385" t="s">
        <v>17</v>
      </c>
      <c r="F15" s="512">
        <f>풍하중!F15</f>
        <v>1</v>
      </c>
      <c r="G15" s="358"/>
      <c r="H15" s="358"/>
      <c r="I15" s="358"/>
      <c r="J15" s="358"/>
      <c r="K15" s="358"/>
      <c r="L15" s="358"/>
      <c r="M15" s="358"/>
    </row>
    <row r="16" spans="1:17" s="7" customFormat="1" ht="15.95" customHeight="1" x14ac:dyDescent="0.15">
      <c r="A16" s="358"/>
      <c r="B16" s="8" t="s">
        <v>12</v>
      </c>
      <c r="C16" s="358" t="s">
        <v>1020</v>
      </c>
      <c r="D16" s="358"/>
      <c r="E16" s="385" t="s">
        <v>17</v>
      </c>
      <c r="F16" s="512">
        <f>풍하중!F16</f>
        <v>1</v>
      </c>
      <c r="G16" s="358"/>
      <c r="H16" s="358"/>
      <c r="I16" s="358"/>
      <c r="J16" s="358"/>
      <c r="K16" s="358"/>
      <c r="L16" s="358"/>
      <c r="M16" s="358"/>
    </row>
    <row r="17" spans="1:22" s="7" customFormat="1" ht="15.95" customHeight="1" x14ac:dyDescent="0.15">
      <c r="A17" s="358"/>
      <c r="B17" s="8" t="s">
        <v>12</v>
      </c>
      <c r="C17" s="358" t="s">
        <v>1021</v>
      </c>
      <c r="D17" s="358"/>
      <c r="E17" s="385" t="s">
        <v>17</v>
      </c>
      <c r="F17" s="512">
        <f>풍하중!F17</f>
        <v>1000</v>
      </c>
      <c r="G17" s="359" t="s">
        <v>25</v>
      </c>
      <c r="H17" s="512">
        <f>풍하중!H17</f>
        <v>3900</v>
      </c>
      <c r="I17" s="359" t="s">
        <v>26</v>
      </c>
      <c r="J17" s="358"/>
      <c r="K17" s="358"/>
      <c r="L17" s="358"/>
      <c r="M17" s="358"/>
    </row>
    <row r="18" spans="1:22" s="7" customFormat="1" ht="15.95" customHeight="1" x14ac:dyDescent="0.15">
      <c r="A18" s="358"/>
      <c r="B18" s="8"/>
      <c r="C18" s="358"/>
      <c r="D18" s="358"/>
      <c r="E18" s="385"/>
      <c r="F18" s="482"/>
      <c r="G18" s="359"/>
      <c r="H18" s="482"/>
      <c r="I18" s="359"/>
      <c r="J18" s="358"/>
      <c r="K18" s="358"/>
      <c r="L18" s="358"/>
      <c r="M18" s="358"/>
    </row>
    <row r="19" spans="1:22" s="7" customFormat="1" ht="15.95" customHeight="1" x14ac:dyDescent="0.15">
      <c r="A19" s="358"/>
      <c r="B19" s="12" t="s">
        <v>525</v>
      </c>
      <c r="C19" s="373"/>
      <c r="D19" s="358"/>
      <c r="E19" s="385"/>
      <c r="F19" s="482"/>
      <c r="G19" s="359"/>
      <c r="H19" s="482"/>
      <c r="I19" s="359" t="s">
        <v>1</v>
      </c>
      <c r="J19" s="358"/>
      <c r="K19" s="358"/>
      <c r="L19" s="358"/>
      <c r="M19" s="358"/>
    </row>
    <row r="20" spans="1:22" s="7" customFormat="1" ht="15.95" customHeight="1" x14ac:dyDescent="0.15">
      <c r="A20" s="358"/>
      <c r="B20" s="12"/>
      <c r="C20" s="373"/>
      <c r="D20" s="358"/>
      <c r="E20" s="385"/>
      <c r="F20" s="482"/>
      <c r="G20" s="359"/>
      <c r="H20" s="482"/>
      <c r="I20" s="359"/>
      <c r="J20" s="358"/>
      <c r="K20" s="358"/>
      <c r="L20" s="358"/>
      <c r="M20" s="358"/>
    </row>
    <row r="21" spans="1:22" s="7" customFormat="1" ht="15.95" customHeight="1" x14ac:dyDescent="0.15">
      <c r="A21" s="358"/>
      <c r="B21" s="12"/>
      <c r="C21" s="683" t="s">
        <v>526</v>
      </c>
      <c r="D21" s="685" t="s">
        <v>1022</v>
      </c>
      <c r="E21" s="687" t="s">
        <v>1023</v>
      </c>
      <c r="F21" s="688"/>
      <c r="G21" s="685" t="s">
        <v>1024</v>
      </c>
      <c r="H21" s="689" t="s">
        <v>1025</v>
      </c>
      <c r="I21" s="687"/>
      <c r="J21" s="358"/>
      <c r="K21" s="358"/>
      <c r="L21" s="358"/>
      <c r="M21" s="358"/>
    </row>
    <row r="22" spans="1:22" s="7" customFormat="1" ht="15.95" customHeight="1" thickBot="1" x14ac:dyDescent="0.2">
      <c r="A22" s="358"/>
      <c r="B22" s="12"/>
      <c r="C22" s="684"/>
      <c r="D22" s="686"/>
      <c r="E22" s="630" t="s">
        <v>529</v>
      </c>
      <c r="F22" s="630" t="s">
        <v>530</v>
      </c>
      <c r="G22" s="686"/>
      <c r="H22" s="631" t="s">
        <v>529</v>
      </c>
      <c r="I22" s="632" t="s">
        <v>530</v>
      </c>
      <c r="J22" s="358"/>
      <c r="K22" s="358"/>
      <c r="L22" s="358"/>
      <c r="M22" s="358"/>
      <c r="R22" s="659" t="s">
        <v>516</v>
      </c>
      <c r="S22" s="659"/>
      <c r="U22" s="659" t="s">
        <v>517</v>
      </c>
      <c r="V22" s="659"/>
    </row>
    <row r="23" spans="1:22" s="7" customFormat="1" ht="15.95" customHeight="1" thickTop="1" x14ac:dyDescent="0.15">
      <c r="A23" s="358"/>
      <c r="B23" s="12"/>
      <c r="C23" s="675" t="s">
        <v>531</v>
      </c>
      <c r="D23" s="677">
        <f>E58</f>
        <v>583.16127313028483</v>
      </c>
      <c r="E23" s="677">
        <f>IF(F10&lt;20,Y72,T72)</f>
        <v>1.7913541937196458</v>
      </c>
      <c r="F23" s="677">
        <f>IF(F10&lt;20,Y79,T79)</f>
        <v>-1.9913541937196459</v>
      </c>
      <c r="G23" s="633">
        <v>-0.8</v>
      </c>
      <c r="H23" s="634">
        <f>ROUNDUP(R23,-1)/10^3</f>
        <v>1.52</v>
      </c>
      <c r="I23" s="635">
        <f>ROUNDUP(S23,0)/10^3</f>
        <v>-0.69499999999999995</v>
      </c>
      <c r="J23" s="358"/>
      <c r="K23" s="358"/>
      <c r="L23" s="358"/>
      <c r="M23" s="358"/>
      <c r="R23" s="486">
        <f>$D$23*($E$23-G23)</f>
        <v>1511.1774107410513</v>
      </c>
      <c r="S23" s="486">
        <f>$D$23*($F$23-G23)</f>
        <v>-694.75162835865274</v>
      </c>
      <c r="U23" s="487">
        <f t="shared" ref="U23:V26" si="0">R23/9.80665</f>
        <v>154.09721064186562</v>
      </c>
      <c r="V23" s="488">
        <f t="shared" si="0"/>
        <v>-70.844949943013447</v>
      </c>
    </row>
    <row r="24" spans="1:22" s="7" customFormat="1" ht="15.95" customHeight="1" x14ac:dyDescent="0.15">
      <c r="A24" s="358"/>
      <c r="B24" s="12"/>
      <c r="C24" s="676"/>
      <c r="D24" s="678"/>
      <c r="E24" s="678"/>
      <c r="F24" s="679"/>
      <c r="G24" s="433">
        <v>0</v>
      </c>
      <c r="H24" s="636">
        <f>ROUNDUP(R24,-1)/10^3</f>
        <v>1.05</v>
      </c>
      <c r="I24" s="637">
        <f>ROUNDUP(S24,0)/10^3</f>
        <v>-1.1619999999999999</v>
      </c>
      <c r="J24" s="358"/>
      <c r="K24" s="358"/>
      <c r="L24" s="358"/>
      <c r="M24" s="358"/>
      <c r="R24" s="486">
        <f>$D$23*($E$23-G24)</f>
        <v>1044.6483922368236</v>
      </c>
      <c r="S24" s="486">
        <f>$D$23*($F$23-G24)</f>
        <v>-1161.2806468628805</v>
      </c>
      <c r="U24" s="488">
        <f t="shared" si="0"/>
        <v>106.52449024252152</v>
      </c>
      <c r="V24" s="487">
        <f t="shared" si="0"/>
        <v>-118.41767034235754</v>
      </c>
    </row>
    <row r="25" spans="1:22" s="7" customFormat="1" ht="15.95" customHeight="1" x14ac:dyDescent="0.15">
      <c r="A25" s="358"/>
      <c r="B25" s="12"/>
      <c r="C25" s="676" t="s">
        <v>532</v>
      </c>
      <c r="D25" s="678"/>
      <c r="E25" s="678"/>
      <c r="F25" s="680">
        <f>IF(F10&lt;20,Y86,T86)</f>
        <v>-2.3827083874392914</v>
      </c>
      <c r="G25" s="433">
        <v>-0.8</v>
      </c>
      <c r="H25" s="638">
        <f>ROUNDUP(R25,-1)/10^3</f>
        <v>1.52</v>
      </c>
      <c r="I25" s="639">
        <f>ROUNDUP(S25,0)/10^3</f>
        <v>-0.92300000000000004</v>
      </c>
      <c r="J25" s="358"/>
      <c r="K25" s="358"/>
      <c r="L25" s="358"/>
      <c r="M25" s="358"/>
      <c r="R25" s="486">
        <f>$D$23*($E$23-G25)</f>
        <v>1511.1774107410513</v>
      </c>
      <c r="S25" s="486">
        <f>$D$23*($F$25-G25)</f>
        <v>-922.97423821307723</v>
      </c>
      <c r="U25" s="487">
        <f t="shared" si="0"/>
        <v>154.09721064186562</v>
      </c>
      <c r="V25" s="488">
        <f t="shared" si="0"/>
        <v>-94.117179486682744</v>
      </c>
    </row>
    <row r="26" spans="1:22" s="7" customFormat="1" ht="15.95" customHeight="1" x14ac:dyDescent="0.15">
      <c r="A26" s="358"/>
      <c r="B26" s="12"/>
      <c r="C26" s="676"/>
      <c r="D26" s="679"/>
      <c r="E26" s="679"/>
      <c r="F26" s="679"/>
      <c r="G26" s="433">
        <v>0</v>
      </c>
      <c r="H26" s="636">
        <f>ROUNDUP(R26,-1)/10^3</f>
        <v>1.05</v>
      </c>
      <c r="I26" s="637">
        <f>ROUNDUP(S26,0)/10^3</f>
        <v>-1.39</v>
      </c>
      <c r="J26" s="358"/>
      <c r="K26" s="358"/>
      <c r="L26" s="358"/>
      <c r="M26" s="358"/>
      <c r="R26" s="486">
        <f>$D$23*($E$23-G26)</f>
        <v>1044.6483922368236</v>
      </c>
      <c r="S26" s="486">
        <f>$D$23*($F$25-G26)</f>
        <v>-1389.503256717305</v>
      </c>
      <c r="U26" s="488">
        <f t="shared" si="0"/>
        <v>106.52449024252152</v>
      </c>
      <c r="V26" s="487">
        <f t="shared" si="0"/>
        <v>-141.68989988602684</v>
      </c>
    </row>
    <row r="27" spans="1:22" s="7" customFormat="1" ht="15.95" customHeight="1" x14ac:dyDescent="0.15">
      <c r="A27" s="358"/>
      <c r="B27" s="12"/>
      <c r="C27" s="373"/>
      <c r="D27" s="358"/>
      <c r="E27" s="385"/>
      <c r="F27" s="482"/>
      <c r="G27" s="359"/>
      <c r="H27" s="482"/>
      <c r="I27" s="359"/>
      <c r="J27" s="358"/>
      <c r="K27" s="358"/>
      <c r="L27" s="358"/>
      <c r="M27" s="358"/>
    </row>
    <row r="28" spans="1:22" s="7" customFormat="1" ht="15.95" customHeight="1" x14ac:dyDescent="0.15">
      <c r="A28" s="358"/>
      <c r="B28" s="8" t="s">
        <v>12</v>
      </c>
      <c r="C28" s="589" t="s">
        <v>1026</v>
      </c>
      <c r="D28" s="640" t="s">
        <v>49</v>
      </c>
      <c r="E28" s="589" t="s">
        <v>1012</v>
      </c>
      <c r="F28" s="590"/>
      <c r="G28" s="373"/>
      <c r="H28" s="359"/>
      <c r="I28" s="359"/>
      <c r="J28" s="358"/>
      <c r="K28" s="358"/>
      <c r="L28" s="358"/>
      <c r="M28" s="358"/>
    </row>
    <row r="29" spans="1:22" s="7" customFormat="1" ht="15.95" customHeight="1" x14ac:dyDescent="0.15">
      <c r="A29" s="358"/>
      <c r="B29" s="358"/>
      <c r="C29" s="358"/>
      <c r="D29" s="358"/>
      <c r="E29" s="358"/>
      <c r="F29" s="358"/>
      <c r="G29" s="358"/>
      <c r="H29" s="358"/>
      <c r="I29" s="358"/>
      <c r="J29" s="358"/>
      <c r="K29" s="385"/>
      <c r="L29" s="358"/>
      <c r="M29" s="358"/>
    </row>
    <row r="30" spans="1:22" s="7" customFormat="1" ht="15.95" customHeight="1" x14ac:dyDescent="0.15">
      <c r="A30" s="358"/>
      <c r="B30" s="358"/>
      <c r="C30" s="358"/>
      <c r="D30" s="358"/>
      <c r="E30" s="358"/>
      <c r="F30" s="358"/>
      <c r="G30" s="358"/>
      <c r="H30" s="358"/>
      <c r="I30" s="358"/>
      <c r="J30" s="358"/>
      <c r="K30" s="385"/>
      <c r="L30" s="358"/>
      <c r="M30" s="358"/>
    </row>
    <row r="31" spans="1:22" s="7" customFormat="1" ht="15.95" customHeight="1" x14ac:dyDescent="0.15">
      <c r="A31" s="358"/>
      <c r="B31" s="12" t="s">
        <v>535</v>
      </c>
      <c r="C31" s="373"/>
      <c r="D31" s="358"/>
      <c r="E31" s="385"/>
      <c r="F31" s="482"/>
      <c r="G31" s="359"/>
      <c r="H31" s="482"/>
      <c r="I31" s="359"/>
      <c r="J31" s="358"/>
      <c r="K31" s="358"/>
      <c r="L31" s="358"/>
      <c r="M31" s="358"/>
    </row>
    <row r="32" spans="1:22" s="7" customFormat="1" ht="15.95" customHeight="1" x14ac:dyDescent="0.15">
      <c r="A32" s="358"/>
      <c r="B32" s="358"/>
      <c r="C32" s="358"/>
      <c r="D32" s="358"/>
      <c r="E32" s="356"/>
      <c r="F32" s="358"/>
      <c r="G32" s="358"/>
      <c r="H32" s="358"/>
      <c r="I32" s="358"/>
      <c r="J32" s="358"/>
      <c r="K32" s="358"/>
      <c r="L32" s="358"/>
      <c r="M32" s="358"/>
    </row>
    <row r="33" spans="1:32" s="7" customFormat="1" ht="15.95" customHeight="1" x14ac:dyDescent="0.15">
      <c r="A33" s="358"/>
      <c r="B33" s="358"/>
      <c r="C33" s="358"/>
      <c r="D33" s="358"/>
      <c r="E33" s="356"/>
      <c r="F33" s="358"/>
      <c r="G33" s="641"/>
      <c r="H33" s="358"/>
      <c r="I33" s="358"/>
      <c r="J33" s="358"/>
      <c r="K33" s="358"/>
      <c r="L33" s="358"/>
      <c r="M33" s="358"/>
    </row>
    <row r="34" spans="1:32" s="7" customFormat="1" ht="15.95" customHeight="1" x14ac:dyDescent="0.15">
      <c r="A34" s="358"/>
      <c r="B34" s="358"/>
      <c r="C34" s="358"/>
      <c r="D34" s="358"/>
      <c r="E34" s="356"/>
      <c r="F34" s="358"/>
      <c r="G34" s="642"/>
      <c r="H34" s="358"/>
      <c r="I34" s="358"/>
      <c r="J34" s="358"/>
      <c r="K34" s="358"/>
      <c r="L34" s="358"/>
      <c r="M34" s="358"/>
    </row>
    <row r="35" spans="1:32" s="7" customFormat="1" ht="15.95" customHeight="1" x14ac:dyDescent="0.15">
      <c r="A35" s="358"/>
      <c r="B35" s="358"/>
      <c r="C35" s="358"/>
      <c r="D35" s="358"/>
      <c r="E35" s="356"/>
      <c r="F35" s="358"/>
      <c r="G35" s="358"/>
      <c r="H35" s="358"/>
      <c r="I35" s="358"/>
      <c r="J35" s="358"/>
      <c r="K35" s="358"/>
      <c r="L35" s="358"/>
      <c r="M35" s="358"/>
    </row>
    <row r="36" spans="1:32" s="7" customFormat="1" ht="15.95" customHeight="1" x14ac:dyDescent="0.15">
      <c r="A36" s="358"/>
      <c r="B36" s="358"/>
      <c r="C36" s="358"/>
      <c r="D36" s="358"/>
      <c r="E36" s="356"/>
      <c r="F36" s="358"/>
      <c r="G36" s="358"/>
      <c r="H36" s="358"/>
      <c r="I36" s="358"/>
      <c r="J36" s="358"/>
      <c r="K36" s="358"/>
      <c r="L36" s="358"/>
      <c r="M36" s="358"/>
      <c r="N36" s="6"/>
      <c r="O36" s="6"/>
      <c r="P36" s="6"/>
      <c r="Q36" s="6"/>
    </row>
    <row r="37" spans="1:32" s="7" customFormat="1" ht="15.95" customHeight="1" x14ac:dyDescent="0.15">
      <c r="A37" s="358"/>
      <c r="B37" s="358"/>
      <c r="C37" s="358"/>
      <c r="D37" s="358"/>
      <c r="E37" s="356"/>
      <c r="F37" s="358"/>
      <c r="G37" s="358"/>
      <c r="H37" s="358"/>
      <c r="I37" s="358"/>
      <c r="J37" s="358"/>
      <c r="K37" s="358"/>
      <c r="L37" s="358"/>
      <c r="M37" s="358"/>
    </row>
    <row r="38" spans="1:32" s="7" customFormat="1" ht="15.95" customHeight="1" x14ac:dyDescent="0.15">
      <c r="A38" s="358"/>
      <c r="B38" s="358"/>
      <c r="C38" s="358"/>
      <c r="D38" s="358"/>
      <c r="E38" s="356"/>
      <c r="F38" s="358"/>
      <c r="G38" s="358"/>
      <c r="H38" s="358"/>
      <c r="I38" s="358"/>
      <c r="J38" s="358"/>
      <c r="K38" s="358"/>
      <c r="L38" s="358"/>
      <c r="M38" s="358"/>
    </row>
    <row r="39" spans="1:32" s="7" customFormat="1" ht="15.95" customHeight="1" x14ac:dyDescent="0.15">
      <c r="A39" s="358"/>
      <c r="B39" s="358"/>
      <c r="C39" s="358"/>
      <c r="D39" s="358"/>
      <c r="E39" s="356"/>
      <c r="F39" s="358"/>
      <c r="G39" s="358"/>
      <c r="H39" s="358"/>
      <c r="I39" s="358"/>
      <c r="J39" s="358"/>
      <c r="K39" s="358"/>
      <c r="L39" s="358"/>
      <c r="M39" s="358"/>
    </row>
    <row r="40" spans="1:32" s="7" customFormat="1" ht="15.95" customHeight="1" x14ac:dyDescent="0.15">
      <c r="A40" s="358"/>
      <c r="B40" s="358"/>
      <c r="C40" s="358"/>
      <c r="D40" s="358"/>
      <c r="E40" s="356"/>
      <c r="F40" s="358"/>
      <c r="G40" s="643"/>
      <c r="H40" s="358"/>
      <c r="I40" s="358"/>
      <c r="J40" s="358"/>
      <c r="K40" s="358"/>
      <c r="L40" s="358"/>
      <c r="M40" s="358"/>
    </row>
    <row r="41" spans="1:32" s="7" customFormat="1" ht="15.95" customHeight="1" x14ac:dyDescent="0.15">
      <c r="A41" s="358"/>
      <c r="B41" s="358"/>
      <c r="C41" s="358"/>
      <c r="D41" s="358"/>
      <c r="E41" s="356"/>
      <c r="F41" s="358"/>
      <c r="G41" s="358"/>
      <c r="H41" s="358"/>
      <c r="I41" s="358"/>
      <c r="J41" s="358"/>
      <c r="K41" s="358"/>
      <c r="L41" s="358"/>
      <c r="M41" s="358"/>
    </row>
    <row r="42" spans="1:32" s="7" customFormat="1" ht="15.95" customHeight="1" x14ac:dyDescent="0.15">
      <c r="A42" s="358"/>
      <c r="B42" s="358"/>
      <c r="C42" s="358"/>
      <c r="D42" s="358"/>
      <c r="E42" s="356"/>
      <c r="F42" s="358"/>
      <c r="G42" s="358"/>
      <c r="H42" s="358"/>
      <c r="I42" s="358"/>
      <c r="J42" s="358"/>
      <c r="K42" s="358"/>
      <c r="L42" s="358"/>
      <c r="M42" s="358"/>
    </row>
    <row r="43" spans="1:32" s="7" customFormat="1" ht="15.95" customHeight="1" x14ac:dyDescent="0.15">
      <c r="A43" s="358"/>
      <c r="B43" s="8" t="s">
        <v>12</v>
      </c>
      <c r="C43" s="644" t="s">
        <v>1027</v>
      </c>
      <c r="D43" s="358"/>
      <c r="E43" s="356"/>
      <c r="F43" s="358"/>
      <c r="G43" s="358"/>
      <c r="H43" s="674" t="s">
        <v>1028</v>
      </c>
      <c r="I43" s="674"/>
      <c r="J43" s="674"/>
      <c r="K43" s="674"/>
      <c r="L43" s="674"/>
      <c r="M43" s="358"/>
      <c r="R43" s="591"/>
      <c r="S43" s="591"/>
      <c r="T43" s="591"/>
      <c r="U43" s="591"/>
      <c r="V43" s="591"/>
      <c r="W43" s="591"/>
      <c r="X43" s="591"/>
      <c r="Y43" s="591"/>
      <c r="Z43" s="591"/>
      <c r="AA43" s="591"/>
      <c r="AB43" s="591"/>
      <c r="AC43" s="591"/>
      <c r="AD43" s="591"/>
      <c r="AE43" s="591"/>
      <c r="AF43" s="591"/>
    </row>
    <row r="44" spans="1:32" s="6" customFormat="1" ht="15.95" customHeight="1" x14ac:dyDescent="0.15">
      <c r="A44" s="373"/>
      <c r="C44" s="645" t="s">
        <v>1029</v>
      </c>
      <c r="G44" s="358"/>
      <c r="H44" s="358"/>
      <c r="I44" s="358"/>
      <c r="J44" s="358"/>
      <c r="K44" s="358"/>
      <c r="L44" s="358"/>
      <c r="M44" s="358"/>
      <c r="R44" s="592"/>
      <c r="S44" s="592"/>
      <c r="T44" s="592"/>
      <c r="U44" s="592"/>
      <c r="V44" s="593" t="s">
        <v>415</v>
      </c>
      <c r="W44" s="594" t="s">
        <v>416</v>
      </c>
      <c r="X44" s="592"/>
      <c r="Y44" s="592"/>
      <c r="Z44" s="592"/>
      <c r="AA44" s="592"/>
      <c r="AB44" s="592"/>
      <c r="AC44" s="592"/>
      <c r="AD44" s="592"/>
      <c r="AE44" s="592"/>
      <c r="AF44" s="592"/>
    </row>
    <row r="45" spans="1:32" s="6" customFormat="1" ht="15.95" customHeight="1" x14ac:dyDescent="0.15">
      <c r="A45" s="373"/>
      <c r="B45" s="8" t="s">
        <v>12</v>
      </c>
      <c r="C45" s="644" t="s">
        <v>1030</v>
      </c>
      <c r="D45" s="358"/>
      <c r="E45" s="356"/>
      <c r="F45" s="358"/>
      <c r="G45" s="373"/>
      <c r="H45" s="373"/>
      <c r="I45" s="373"/>
      <c r="J45" s="373"/>
      <c r="K45" s="373"/>
      <c r="L45" s="373"/>
      <c r="M45" s="373"/>
      <c r="R45" s="592"/>
      <c r="S45" s="592"/>
      <c r="T45" s="592"/>
      <c r="U45" s="592"/>
      <c r="V45" s="593"/>
      <c r="W45" s="594"/>
      <c r="X45" s="592"/>
      <c r="Y45" s="592"/>
      <c r="Z45" s="592"/>
      <c r="AA45" s="592"/>
      <c r="AB45" s="592"/>
      <c r="AC45" s="592"/>
      <c r="AD45" s="592"/>
      <c r="AE45" s="592"/>
      <c r="AF45" s="592"/>
    </row>
    <row r="46" spans="1:32" s="6" customFormat="1" ht="15.95" customHeight="1" x14ac:dyDescent="0.15">
      <c r="A46" s="372"/>
      <c r="B46" s="586" t="s">
        <v>33</v>
      </c>
      <c r="C46" s="372" t="s">
        <v>1031</v>
      </c>
      <c r="D46" s="372"/>
      <c r="E46" s="372"/>
      <c r="F46" s="372"/>
      <c r="G46" s="372"/>
      <c r="H46" s="372"/>
      <c r="I46" s="372"/>
      <c r="J46" s="372"/>
      <c r="K46" s="372"/>
      <c r="L46" s="372"/>
      <c r="M46" s="373"/>
      <c r="R46" s="592"/>
      <c r="S46" s="595" t="s">
        <v>417</v>
      </c>
      <c r="T46" s="596" t="s">
        <v>418</v>
      </c>
      <c r="U46" s="593" t="s">
        <v>8</v>
      </c>
      <c r="V46" s="593" t="s">
        <v>44</v>
      </c>
      <c r="W46" s="597" t="s">
        <v>44</v>
      </c>
      <c r="X46" s="597" t="s">
        <v>419</v>
      </c>
      <c r="Y46" s="593" t="s">
        <v>420</v>
      </c>
      <c r="Z46" s="591"/>
      <c r="AA46" s="591"/>
      <c r="AB46" s="592"/>
      <c r="AC46" s="592"/>
      <c r="AD46" s="592"/>
      <c r="AE46" s="592"/>
      <c r="AF46" s="592"/>
    </row>
    <row r="47" spans="1:32" s="6" customFormat="1" ht="15.95" customHeight="1" x14ac:dyDescent="0.15">
      <c r="A47" s="373"/>
      <c r="B47" s="373"/>
      <c r="C47" s="373"/>
      <c r="D47" s="373"/>
      <c r="E47" s="373"/>
      <c r="F47" s="373"/>
      <c r="G47" s="373"/>
      <c r="H47" s="373"/>
      <c r="I47" s="373"/>
      <c r="J47" s="373"/>
      <c r="K47" s="373"/>
      <c r="L47" s="373"/>
      <c r="M47" s="373"/>
      <c r="R47" s="592"/>
      <c r="S47" s="598" t="s">
        <v>45</v>
      </c>
      <c r="T47" s="599">
        <v>0.22</v>
      </c>
      <c r="U47" s="596">
        <v>0.33</v>
      </c>
      <c r="V47" s="600">
        <v>0.57999999999999996</v>
      </c>
      <c r="W47" s="601">
        <f>T47*$I$50^U47</f>
        <v>0.58131478541982162</v>
      </c>
      <c r="X47" s="595">
        <v>20</v>
      </c>
      <c r="Y47" s="602">
        <v>550</v>
      </c>
      <c r="Z47" s="591"/>
      <c r="AA47" s="591"/>
      <c r="AB47" s="592"/>
      <c r="AC47" s="592"/>
      <c r="AD47" s="592"/>
      <c r="AE47" s="592"/>
      <c r="AF47" s="592"/>
    </row>
    <row r="48" spans="1:32" s="6" customFormat="1" ht="15.95" customHeight="1" x14ac:dyDescent="0.25">
      <c r="A48" s="373"/>
      <c r="B48" s="373"/>
      <c r="C48" s="646" t="s">
        <v>1032</v>
      </c>
      <c r="D48" s="385" t="s">
        <v>4</v>
      </c>
      <c r="E48" s="647">
        <f>VLOOKUP(F13,S47:T50,2)</f>
        <v>0.71</v>
      </c>
      <c r="F48" s="648" t="s">
        <v>1033</v>
      </c>
      <c r="G48" s="649" t="s">
        <v>1034</v>
      </c>
      <c r="H48" s="13" t="s">
        <v>4</v>
      </c>
      <c r="I48" s="511">
        <f>VLOOKUP($F$13,$S$47:$Y$50,6)</f>
        <v>10</v>
      </c>
      <c r="J48" s="373" t="s">
        <v>422</v>
      </c>
      <c r="K48" s="373"/>
      <c r="L48" s="373"/>
      <c r="M48" s="373"/>
      <c r="R48" s="592"/>
      <c r="S48" s="598" t="s">
        <v>46</v>
      </c>
      <c r="T48" s="599">
        <v>0.45</v>
      </c>
      <c r="U48" s="596">
        <v>0.22</v>
      </c>
      <c r="V48" s="600">
        <v>0.81</v>
      </c>
      <c r="W48" s="601">
        <f>T48*$I$50^U48</f>
        <v>0.86007892490412052</v>
      </c>
      <c r="X48" s="595">
        <v>15</v>
      </c>
      <c r="Y48" s="602">
        <v>450</v>
      </c>
      <c r="Z48" s="591"/>
      <c r="AA48" s="591"/>
      <c r="AB48" s="592"/>
      <c r="AC48" s="592"/>
      <c r="AD48" s="592"/>
      <c r="AE48" s="592"/>
      <c r="AF48" s="592"/>
    </row>
    <row r="49" spans="1:32" s="6" customFormat="1" ht="15.95" customHeight="1" x14ac:dyDescent="0.15">
      <c r="A49" s="373"/>
      <c r="B49" s="373"/>
      <c r="C49" s="373"/>
      <c r="D49" s="385" t="s">
        <v>4</v>
      </c>
      <c r="E49" s="512">
        <f>IF(I48&gt;I50,R49,R50)</f>
        <v>1.104260122080795</v>
      </c>
      <c r="F49" s="373"/>
      <c r="G49" s="649" t="s">
        <v>1035</v>
      </c>
      <c r="H49" s="13" t="s">
        <v>4</v>
      </c>
      <c r="I49" s="511">
        <f>VLOOKUP($F$13,$S$47:$Y$50,7)</f>
        <v>350</v>
      </c>
      <c r="J49" s="373" t="s">
        <v>423</v>
      </c>
      <c r="K49" s="373"/>
      <c r="L49" s="373"/>
      <c r="M49" s="373"/>
      <c r="R49" s="603">
        <f>VLOOKUP(F13,S47:Y50,4)</f>
        <v>1</v>
      </c>
      <c r="S49" s="598" t="s">
        <v>47</v>
      </c>
      <c r="T49" s="599">
        <v>0.71</v>
      </c>
      <c r="U49" s="596">
        <v>0.15</v>
      </c>
      <c r="V49" s="604">
        <v>1</v>
      </c>
      <c r="W49" s="601">
        <f>T49*$I$50^U49</f>
        <v>1.104260122080795</v>
      </c>
      <c r="X49" s="595">
        <v>10</v>
      </c>
      <c r="Y49" s="602">
        <v>350</v>
      </c>
      <c r="Z49" s="591"/>
      <c r="AA49" s="591"/>
      <c r="AB49" s="592"/>
      <c r="AC49" s="592"/>
      <c r="AD49" s="592"/>
      <c r="AE49" s="592"/>
      <c r="AF49" s="592"/>
    </row>
    <row r="50" spans="1:32" s="6" customFormat="1" ht="15.95" customHeight="1" x14ac:dyDescent="0.15">
      <c r="A50" s="373"/>
      <c r="B50" s="373"/>
      <c r="C50" s="480"/>
      <c r="D50" s="373"/>
      <c r="E50" s="373"/>
      <c r="F50" s="373"/>
      <c r="G50" s="649" t="s">
        <v>38</v>
      </c>
      <c r="H50" s="13" t="s">
        <v>4</v>
      </c>
      <c r="I50" s="511">
        <f>F10</f>
        <v>19</v>
      </c>
      <c r="J50" s="373" t="s">
        <v>424</v>
      </c>
      <c r="K50" s="373"/>
      <c r="L50" s="373"/>
      <c r="M50" s="373"/>
      <c r="R50" s="603">
        <f>VLOOKUP(F13,S47:Y50,5)</f>
        <v>1.104260122080795</v>
      </c>
      <c r="S50" s="598" t="s">
        <v>48</v>
      </c>
      <c r="T50" s="605">
        <v>0.98</v>
      </c>
      <c r="U50" s="606">
        <v>0.1</v>
      </c>
      <c r="V50" s="600">
        <v>1.1299999999999999</v>
      </c>
      <c r="W50" s="607">
        <f>T50*$I$50^U50</f>
        <v>1.3155320579428627</v>
      </c>
      <c r="X50" s="595">
        <v>5</v>
      </c>
      <c r="Y50" s="596">
        <v>250</v>
      </c>
      <c r="Z50" s="591"/>
      <c r="AA50" s="591"/>
      <c r="AB50" s="592"/>
      <c r="AC50" s="592"/>
      <c r="AD50" s="592"/>
      <c r="AE50" s="592"/>
      <c r="AF50" s="592"/>
    </row>
    <row r="51" spans="1:32" s="6" customFormat="1" ht="15.95" customHeight="1" x14ac:dyDescent="0.15">
      <c r="A51" s="373"/>
      <c r="B51" s="373"/>
      <c r="C51" s="650" t="s">
        <v>1036</v>
      </c>
      <c r="D51" s="385" t="s">
        <v>4</v>
      </c>
      <c r="E51" s="651" t="s">
        <v>1037</v>
      </c>
      <c r="F51" s="373"/>
      <c r="G51" s="649" t="s">
        <v>8</v>
      </c>
      <c r="H51" s="13" t="s">
        <v>4</v>
      </c>
      <c r="I51" s="519">
        <f>VLOOKUP($F$13,$S$47:$Y$50,3)</f>
        <v>0.15</v>
      </c>
      <c r="J51" s="373" t="s">
        <v>426</v>
      </c>
      <c r="K51" s="373"/>
      <c r="L51" s="373"/>
      <c r="M51" s="373"/>
      <c r="R51" s="592"/>
      <c r="S51" s="608"/>
      <c r="T51" s="608"/>
      <c r="U51" s="608"/>
      <c r="V51" s="608"/>
      <c r="W51" s="608"/>
      <c r="X51" s="608"/>
      <c r="Y51" s="592"/>
      <c r="Z51" s="591"/>
      <c r="AA51" s="591"/>
      <c r="AB51" s="592"/>
      <c r="AC51" s="592"/>
      <c r="AD51" s="592"/>
      <c r="AE51" s="592"/>
      <c r="AF51" s="592"/>
    </row>
    <row r="52" spans="1:32" s="6" customFormat="1" ht="15.95" customHeight="1" x14ac:dyDescent="0.15">
      <c r="A52" s="373"/>
      <c r="B52" s="373"/>
      <c r="C52" s="480"/>
      <c r="D52" s="385" t="s">
        <v>4</v>
      </c>
      <c r="E52" s="512">
        <f>F12*F15*F16*E49*F14</f>
        <v>30.91928341826226</v>
      </c>
      <c r="F52" s="373" t="s">
        <v>20</v>
      </c>
      <c r="G52" s="373"/>
      <c r="H52" s="373"/>
      <c r="I52" s="373"/>
      <c r="J52" s="373"/>
      <c r="K52" s="373"/>
      <c r="L52" s="373"/>
      <c r="M52" s="373"/>
      <c r="R52" s="609"/>
      <c r="S52" s="609"/>
      <c r="T52" s="609"/>
      <c r="U52" s="592"/>
      <c r="V52" s="610"/>
      <c r="W52" s="592"/>
      <c r="X52" s="592"/>
      <c r="Y52" s="592"/>
      <c r="Z52" s="591"/>
      <c r="AA52" s="591"/>
      <c r="AB52" s="592"/>
      <c r="AC52" s="592"/>
      <c r="AD52" s="592"/>
      <c r="AE52" s="592"/>
      <c r="AF52" s="592"/>
    </row>
    <row r="53" spans="1:32" s="6" customFormat="1" ht="15.95" customHeight="1" x14ac:dyDescent="0.15">
      <c r="A53" s="373"/>
      <c r="B53" s="373"/>
      <c r="C53" s="480"/>
      <c r="D53" s="373"/>
      <c r="E53" s="373"/>
      <c r="F53" s="373"/>
      <c r="G53" s="373"/>
      <c r="H53" s="373"/>
      <c r="I53" s="373"/>
      <c r="J53" s="373"/>
      <c r="K53" s="373"/>
      <c r="L53" s="373"/>
      <c r="M53" s="373"/>
      <c r="R53" s="609"/>
      <c r="S53" s="609"/>
      <c r="T53" s="609"/>
      <c r="U53" s="592"/>
      <c r="V53" s="610"/>
      <c r="W53" s="592"/>
      <c r="X53" s="592"/>
      <c r="Y53" s="592"/>
      <c r="Z53" s="592"/>
      <c r="AA53" s="592"/>
      <c r="AB53" s="592"/>
      <c r="AC53" s="592"/>
      <c r="AD53" s="592"/>
      <c r="AE53" s="592"/>
      <c r="AF53" s="592"/>
    </row>
    <row r="54" spans="1:32" s="6" customFormat="1" ht="15.95" customHeight="1" x14ac:dyDescent="0.15">
      <c r="A54" s="373"/>
      <c r="B54" s="373"/>
      <c r="C54" s="480"/>
      <c r="D54" s="373"/>
      <c r="E54" s="373"/>
      <c r="F54" s="373"/>
      <c r="G54" s="373"/>
      <c r="H54" s="373"/>
      <c r="I54" s="373"/>
      <c r="J54" s="373"/>
      <c r="K54" s="373"/>
      <c r="L54" s="373"/>
      <c r="M54" s="373"/>
      <c r="R54" s="609"/>
      <c r="S54" s="609"/>
      <c r="T54" s="609"/>
      <c r="U54" s="592"/>
      <c r="V54" s="611"/>
      <c r="W54" s="592"/>
      <c r="X54" s="592"/>
      <c r="Y54" s="592"/>
      <c r="Z54" s="592"/>
      <c r="AA54" s="592"/>
      <c r="AB54" s="592"/>
      <c r="AC54" s="592"/>
      <c r="AD54" s="592"/>
      <c r="AE54" s="592"/>
      <c r="AF54" s="592"/>
    </row>
    <row r="55" spans="1:32" s="6" customFormat="1" ht="15.95" customHeight="1" x14ac:dyDescent="0.15">
      <c r="A55" s="373"/>
      <c r="B55" s="586" t="s">
        <v>39</v>
      </c>
      <c r="C55" s="372" t="s">
        <v>1038</v>
      </c>
      <c r="D55" s="373"/>
      <c r="E55" s="373"/>
      <c r="F55" s="373"/>
      <c r="G55" s="373"/>
      <c r="H55" s="373"/>
      <c r="I55" s="373"/>
      <c r="J55" s="373"/>
      <c r="K55" s="373"/>
      <c r="L55" s="373"/>
      <c r="M55" s="373"/>
      <c r="R55" s="609"/>
      <c r="S55" s="609"/>
      <c r="T55" s="609"/>
      <c r="U55" s="592"/>
      <c r="V55" s="592"/>
      <c r="W55" s="592"/>
      <c r="X55" s="592"/>
      <c r="Y55" s="592"/>
      <c r="Z55" s="592"/>
      <c r="AA55" s="592"/>
      <c r="AB55" s="592"/>
      <c r="AC55" s="592"/>
      <c r="AD55" s="592"/>
      <c r="AE55" s="592"/>
      <c r="AF55" s="592"/>
    </row>
    <row r="56" spans="1:32" s="6" customFormat="1" ht="15.95" customHeight="1" x14ac:dyDescent="0.15">
      <c r="A56" s="373"/>
      <c r="B56" s="373"/>
      <c r="C56" s="373"/>
      <c r="D56" s="373"/>
      <c r="E56" s="373"/>
      <c r="F56" s="373"/>
      <c r="G56" s="373"/>
      <c r="H56" s="373"/>
      <c r="I56" s="373"/>
      <c r="J56" s="373"/>
      <c r="K56" s="373"/>
      <c r="L56" s="373"/>
      <c r="M56" s="652"/>
      <c r="R56" s="592"/>
      <c r="S56" s="592"/>
      <c r="T56" s="592"/>
      <c r="U56" s="592"/>
      <c r="V56" s="592"/>
      <c r="W56" s="592"/>
      <c r="X56" s="592"/>
      <c r="Y56" s="592"/>
      <c r="Z56" s="592"/>
      <c r="AA56" s="592"/>
      <c r="AB56" s="592"/>
      <c r="AC56" s="592"/>
      <c r="AD56" s="592"/>
      <c r="AE56" s="592"/>
      <c r="AF56" s="592"/>
    </row>
    <row r="57" spans="1:32" s="6" customFormat="1" ht="15.95" customHeight="1" x14ac:dyDescent="0.15">
      <c r="A57" s="373"/>
      <c r="B57" s="373"/>
      <c r="C57" s="650" t="s">
        <v>1022</v>
      </c>
      <c r="D57" s="385" t="s">
        <v>4</v>
      </c>
      <c r="E57" s="589" t="s">
        <v>1039</v>
      </c>
      <c r="F57" s="373"/>
      <c r="G57" s="373"/>
      <c r="H57" s="373"/>
      <c r="I57" s="373"/>
      <c r="J57" s="373"/>
      <c r="K57" s="373"/>
      <c r="L57" s="373"/>
      <c r="M57" s="373"/>
      <c r="R57" s="592"/>
      <c r="S57" s="592"/>
      <c r="T57" s="592"/>
      <c r="U57" s="592"/>
      <c r="V57" s="592"/>
      <c r="W57" s="592"/>
      <c r="X57" s="592"/>
      <c r="Y57" s="592"/>
      <c r="Z57" s="592"/>
      <c r="AA57" s="592"/>
      <c r="AB57" s="592"/>
      <c r="AC57" s="592"/>
      <c r="AD57" s="592"/>
      <c r="AE57" s="592"/>
      <c r="AF57" s="592"/>
    </row>
    <row r="58" spans="1:32" s="476" customFormat="1" ht="15.95" customHeight="1" x14ac:dyDescent="0.15">
      <c r="A58" s="373"/>
      <c r="B58" s="373"/>
      <c r="C58" s="653"/>
      <c r="D58" s="385" t="s">
        <v>4</v>
      </c>
      <c r="E58" s="525">
        <f>0.5*(E59)*E52^2</f>
        <v>583.16127313028483</v>
      </c>
      <c r="F58" s="373" t="s">
        <v>1040</v>
      </c>
      <c r="G58" s="373"/>
      <c r="H58" s="373"/>
      <c r="I58" s="373"/>
      <c r="J58" s="373"/>
      <c r="K58" s="373"/>
      <c r="L58" s="373"/>
      <c r="M58" s="372"/>
      <c r="R58" s="612"/>
      <c r="S58" s="612"/>
      <c r="T58" s="612"/>
      <c r="U58" s="612"/>
      <c r="V58" s="612"/>
      <c r="W58" s="612"/>
      <c r="X58" s="612"/>
      <c r="Y58" s="612"/>
      <c r="Z58" s="612"/>
      <c r="AA58" s="612"/>
      <c r="AB58" s="612"/>
      <c r="AC58" s="612"/>
      <c r="AD58" s="612"/>
      <c r="AE58" s="612"/>
      <c r="AF58" s="612"/>
    </row>
    <row r="59" spans="1:32" s="6" customFormat="1" ht="15.95" customHeight="1" x14ac:dyDescent="0.15">
      <c r="A59" s="373"/>
      <c r="B59" s="373"/>
      <c r="C59" s="589" t="s">
        <v>40</v>
      </c>
      <c r="D59" s="13" t="s">
        <v>4</v>
      </c>
      <c r="E59" s="519">
        <v>1.22</v>
      </c>
      <c r="F59" s="373" t="s">
        <v>1041</v>
      </c>
      <c r="G59" s="373"/>
      <c r="H59" s="373"/>
      <c r="I59" s="373"/>
      <c r="J59" s="373"/>
      <c r="K59" s="373"/>
      <c r="L59" s="373"/>
      <c r="M59" s="373"/>
      <c r="R59" s="592"/>
      <c r="S59" s="592"/>
      <c r="T59" s="592"/>
      <c r="U59" s="592"/>
      <c r="V59" s="592"/>
      <c r="W59" s="592"/>
      <c r="X59" s="592"/>
      <c r="Y59" s="592"/>
      <c r="Z59" s="592"/>
      <c r="AA59" s="592"/>
      <c r="AB59" s="592"/>
      <c r="AC59" s="592"/>
      <c r="AD59" s="592"/>
      <c r="AE59" s="592"/>
      <c r="AF59" s="592"/>
    </row>
    <row r="60" spans="1:32" s="6" customFormat="1" ht="15.95" customHeight="1" x14ac:dyDescent="0.15">
      <c r="A60" s="373"/>
      <c r="B60" s="373"/>
      <c r="C60" s="373"/>
      <c r="D60" s="373"/>
      <c r="E60" s="373"/>
      <c r="F60" s="373"/>
      <c r="G60" s="373"/>
      <c r="H60" s="590"/>
      <c r="I60" s="373"/>
      <c r="J60" s="373"/>
      <c r="K60" s="373"/>
      <c r="L60" s="373"/>
      <c r="M60" s="373"/>
      <c r="R60" s="592"/>
      <c r="S60" s="592"/>
      <c r="T60" s="592"/>
      <c r="U60" s="592"/>
      <c r="V60" s="592"/>
      <c r="W60" s="592"/>
      <c r="X60" s="592"/>
      <c r="Y60" s="592"/>
      <c r="Z60" s="592"/>
      <c r="AA60" s="592"/>
      <c r="AB60" s="592"/>
      <c r="AC60" s="592"/>
      <c r="AD60" s="592"/>
      <c r="AE60" s="592"/>
      <c r="AF60" s="592"/>
    </row>
    <row r="61" spans="1:32" s="6" customFormat="1" ht="15.95" customHeight="1" x14ac:dyDescent="0.15">
      <c r="A61" s="373"/>
      <c r="B61" s="373"/>
      <c r="C61" s="373"/>
      <c r="D61" s="373"/>
      <c r="E61" s="373"/>
      <c r="F61" s="373"/>
      <c r="G61" s="373"/>
      <c r="H61" s="373"/>
      <c r="I61" s="373"/>
      <c r="J61" s="373"/>
      <c r="K61" s="373"/>
      <c r="L61" s="373"/>
      <c r="M61" s="373"/>
      <c r="R61" s="592" t="s">
        <v>50</v>
      </c>
      <c r="S61" s="592"/>
      <c r="T61" s="592"/>
      <c r="U61" s="592"/>
      <c r="V61" s="592"/>
      <c r="W61" s="592"/>
      <c r="X61" s="592"/>
      <c r="Y61" s="592"/>
      <c r="Z61" s="592"/>
      <c r="AA61" s="592"/>
      <c r="AB61" s="592"/>
      <c r="AC61" s="592"/>
      <c r="AD61" s="592"/>
      <c r="AE61" s="592"/>
      <c r="AF61" s="592"/>
    </row>
    <row r="62" spans="1:32" s="6" customFormat="1" ht="15.95" customHeight="1" x14ac:dyDescent="0.15">
      <c r="A62" s="373"/>
      <c r="B62" s="586"/>
      <c r="C62" s="613"/>
      <c r="D62" s="373"/>
      <c r="E62" s="373"/>
      <c r="F62" s="373"/>
      <c r="G62" s="373"/>
      <c r="H62" s="373"/>
      <c r="I62" s="373"/>
      <c r="J62" s="373"/>
      <c r="K62" s="373"/>
      <c r="L62" s="373"/>
      <c r="M62" s="372"/>
      <c r="R62" s="592" t="s">
        <v>437</v>
      </c>
      <c r="S62" s="592"/>
      <c r="T62" s="592"/>
      <c r="U62" s="592"/>
      <c r="V62" s="592"/>
      <c r="W62" s="592"/>
      <c r="X62" s="592"/>
      <c r="Y62" s="592"/>
      <c r="Z62" s="592"/>
      <c r="AA62" s="592"/>
      <c r="AB62" s="592"/>
      <c r="AC62" s="592"/>
      <c r="AD62" s="592"/>
      <c r="AE62" s="592"/>
      <c r="AF62" s="592"/>
    </row>
    <row r="63" spans="1:32" s="6" customFormat="1" ht="15.95" customHeight="1" x14ac:dyDescent="0.15">
      <c r="A63" s="613"/>
      <c r="B63" s="373"/>
      <c r="C63" s="589"/>
      <c r="D63" s="385"/>
      <c r="E63" s="614"/>
      <c r="F63" s="613"/>
      <c r="G63" s="613"/>
      <c r="H63" s="613"/>
      <c r="I63" s="613"/>
      <c r="J63" s="613"/>
      <c r="K63" s="373"/>
      <c r="L63" s="373"/>
      <c r="M63" s="373"/>
      <c r="R63" s="592"/>
      <c r="S63" s="592"/>
      <c r="T63" s="592"/>
      <c r="U63" s="592"/>
      <c r="V63" s="592"/>
      <c r="W63" s="592"/>
      <c r="X63" s="592"/>
      <c r="Y63" s="592"/>
      <c r="Z63" s="592"/>
      <c r="AA63" s="592"/>
      <c r="AB63" s="592"/>
      <c r="AC63" s="592"/>
      <c r="AD63" s="592"/>
      <c r="AE63" s="592"/>
      <c r="AF63" s="592"/>
    </row>
    <row r="64" spans="1:32" s="6" customFormat="1" ht="15.95" customHeight="1" x14ac:dyDescent="0.15">
      <c r="A64" s="373"/>
      <c r="B64" s="373"/>
      <c r="C64" s="373"/>
      <c r="D64" s="373"/>
      <c r="E64" s="373"/>
      <c r="F64" s="373"/>
      <c r="G64" s="373"/>
      <c r="H64" s="373"/>
      <c r="I64" s="373"/>
      <c r="J64" s="373"/>
      <c r="K64" s="373"/>
      <c r="L64" s="373"/>
      <c r="M64" s="373"/>
      <c r="R64" s="592"/>
      <c r="S64" s="592"/>
      <c r="T64" s="592"/>
      <c r="U64" s="592"/>
      <c r="V64" s="592"/>
      <c r="W64" s="592"/>
      <c r="X64" s="592"/>
      <c r="Y64" s="592"/>
      <c r="Z64" s="592"/>
      <c r="AA64" s="592"/>
      <c r="AB64" s="592"/>
      <c r="AC64" s="592"/>
      <c r="AD64" s="592"/>
      <c r="AE64" s="592"/>
      <c r="AF64" s="592"/>
    </row>
    <row r="65" spans="1:32" s="6" customFormat="1" ht="15.95" customHeight="1" x14ac:dyDescent="0.15">
      <c r="A65" s="373"/>
      <c r="B65" s="373"/>
      <c r="C65" s="373"/>
      <c r="D65" s="373"/>
      <c r="E65" s="373"/>
      <c r="F65" s="373"/>
      <c r="G65" s="373"/>
      <c r="H65" s="373"/>
      <c r="I65" s="373"/>
      <c r="J65" s="373"/>
      <c r="K65" s="373"/>
      <c r="L65" s="373"/>
      <c r="M65" s="373"/>
      <c r="R65" s="608" t="s">
        <v>439</v>
      </c>
      <c r="S65" s="608"/>
      <c r="T65" s="608"/>
      <c r="U65" s="608"/>
      <c r="V65" s="592"/>
      <c r="W65" s="592"/>
      <c r="X65" s="592"/>
      <c r="Y65" s="592"/>
      <c r="Z65" s="592"/>
      <c r="AA65" s="592"/>
      <c r="AB65" s="592"/>
      <c r="AC65" s="592"/>
      <c r="AD65" s="592"/>
      <c r="AE65" s="592"/>
      <c r="AF65" s="592"/>
    </row>
    <row r="66" spans="1:32" s="6" customFormat="1" ht="15.95" customHeight="1" x14ac:dyDescent="0.15">
      <c r="A66" s="373"/>
      <c r="B66" s="373"/>
      <c r="C66" s="373"/>
      <c r="D66" s="373"/>
      <c r="E66" s="373"/>
      <c r="F66" s="373"/>
      <c r="G66" s="373"/>
      <c r="H66" s="373"/>
      <c r="I66" s="373"/>
      <c r="J66" s="373"/>
      <c r="K66" s="373"/>
      <c r="L66" s="373"/>
      <c r="M66" s="373"/>
      <c r="R66" s="608"/>
      <c r="S66" s="608"/>
      <c r="T66" s="608"/>
      <c r="U66" s="608"/>
      <c r="V66" s="592"/>
      <c r="W66" s="592"/>
      <c r="X66" s="592"/>
      <c r="Y66" s="592"/>
      <c r="Z66" s="592"/>
      <c r="AA66" s="592"/>
      <c r="AB66" s="592"/>
      <c r="AC66" s="592"/>
      <c r="AD66" s="592"/>
      <c r="AE66" s="592"/>
      <c r="AF66" s="592"/>
    </row>
    <row r="67" spans="1:32" s="6" customFormat="1" ht="15.95" customHeight="1" x14ac:dyDescent="0.15">
      <c r="A67" s="373"/>
      <c r="B67" s="373"/>
      <c r="C67" s="373"/>
      <c r="D67" s="373"/>
      <c r="E67" s="373"/>
      <c r="F67" s="373"/>
      <c r="G67" s="373"/>
      <c r="H67" s="373"/>
      <c r="I67" s="373"/>
      <c r="J67" s="373"/>
      <c r="K67" s="373"/>
      <c r="L67" s="373"/>
      <c r="M67" s="373"/>
      <c r="R67" s="608" t="s">
        <v>440</v>
      </c>
      <c r="S67" s="608"/>
      <c r="T67" s="608"/>
      <c r="U67" s="608"/>
      <c r="V67" s="592"/>
      <c r="W67" s="608" t="s">
        <v>441</v>
      </c>
      <c r="X67" s="608"/>
      <c r="Y67" s="608"/>
      <c r="Z67" s="608"/>
      <c r="AA67" s="592"/>
      <c r="AB67" s="592"/>
      <c r="AC67" s="592"/>
      <c r="AD67" s="592"/>
      <c r="AE67" s="592"/>
      <c r="AF67" s="592"/>
    </row>
    <row r="68" spans="1:32" s="6" customFormat="1" ht="15.95" customHeight="1" x14ac:dyDescent="0.15">
      <c r="A68" s="373"/>
      <c r="B68" s="373"/>
      <c r="C68" s="373"/>
      <c r="D68" s="373"/>
      <c r="E68" s="373"/>
      <c r="F68" s="373"/>
      <c r="G68" s="373"/>
      <c r="H68" s="373"/>
      <c r="I68" s="373"/>
      <c r="J68" s="373"/>
      <c r="K68" s="373"/>
      <c r="L68" s="373"/>
      <c r="M68" s="373"/>
      <c r="R68" s="608" t="s">
        <v>52</v>
      </c>
      <c r="S68" s="615" t="s">
        <v>442</v>
      </c>
      <c r="T68" s="616">
        <f>F17*H17/10^6</f>
        <v>3.9</v>
      </c>
      <c r="U68" s="617" t="s">
        <v>443</v>
      </c>
      <c r="V68" s="592"/>
      <c r="W68" s="608" t="s">
        <v>52</v>
      </c>
      <c r="X68" s="615" t="s">
        <v>442</v>
      </c>
      <c r="Y68" s="616">
        <f>T68</f>
        <v>3.9</v>
      </c>
      <c r="Z68" s="617" t="s">
        <v>443</v>
      </c>
      <c r="AA68" s="592"/>
      <c r="AB68" s="592"/>
      <c r="AC68" s="592"/>
      <c r="AD68" s="592"/>
      <c r="AE68" s="592"/>
      <c r="AF68" s="592"/>
    </row>
    <row r="69" spans="1:32" s="6" customFormat="1" ht="15.95" customHeight="1" x14ac:dyDescent="0.15">
      <c r="A69" s="373"/>
      <c r="B69" s="373"/>
      <c r="C69" s="373"/>
      <c r="D69" s="373"/>
      <c r="E69" s="373"/>
      <c r="F69" s="373"/>
      <c r="G69" s="373"/>
      <c r="H69" s="373"/>
      <c r="I69" s="373"/>
      <c r="J69" s="373"/>
      <c r="K69" s="373"/>
      <c r="L69" s="373"/>
      <c r="M69" s="373"/>
      <c r="R69" s="608" t="s">
        <v>53</v>
      </c>
      <c r="S69" s="618" t="s">
        <v>444</v>
      </c>
      <c r="T69" s="619">
        <v>1.8</v>
      </c>
      <c r="U69" s="620" t="str">
        <f>IF(T68&lt;=2,"  ← Governs","")</f>
        <v/>
      </c>
      <c r="V69" s="592"/>
      <c r="W69" s="608" t="s">
        <v>53</v>
      </c>
      <c r="X69" s="608" t="s">
        <v>445</v>
      </c>
      <c r="Y69" s="619">
        <v>2</v>
      </c>
      <c r="Z69" s="620" t="str">
        <f>IF(Y68&lt;=1,"  ← Governs","")</f>
        <v/>
      </c>
      <c r="AA69" s="592"/>
      <c r="AB69" s="592"/>
      <c r="AC69" s="592"/>
      <c r="AD69" s="592"/>
      <c r="AE69" s="592"/>
      <c r="AF69" s="592"/>
    </row>
    <row r="70" spans="1:32" s="6" customFormat="1" ht="15.95" customHeight="1" x14ac:dyDescent="0.15">
      <c r="A70" s="373"/>
      <c r="B70" s="373"/>
      <c r="C70" s="373"/>
      <c r="D70" s="373"/>
      <c r="E70" s="373"/>
      <c r="F70" s="373"/>
      <c r="G70" s="373"/>
      <c r="H70" s="373"/>
      <c r="I70" s="373"/>
      <c r="J70" s="373"/>
      <c r="K70" s="373"/>
      <c r="L70" s="373"/>
      <c r="M70" s="373"/>
      <c r="R70" s="608"/>
      <c r="S70" s="618" t="s">
        <v>446</v>
      </c>
      <c r="T70" s="619">
        <f>1.93-0.43*LOG(T68)</f>
        <v>1.6758422189786053</v>
      </c>
      <c r="U70" s="620" t="str">
        <f>IF((2&lt;+T68)*AND(T68&lt;=50),"  ← Governs","")</f>
        <v xml:space="preserve">  ← Governs</v>
      </c>
      <c r="V70" s="592"/>
      <c r="W70" s="608"/>
      <c r="X70" s="608" t="s">
        <v>55</v>
      </c>
      <c r="Y70" s="619">
        <f>2-0.353*LOG(Y68)</f>
        <v>1.7913541937196458</v>
      </c>
      <c r="Z70" s="620" t="str">
        <f>IF((1&lt;+Y68)*AND(Y68&lt;=50),"  ← Governs","")</f>
        <v xml:space="preserve">  ← Governs</v>
      </c>
      <c r="AA70" s="592"/>
      <c r="AB70" s="592"/>
      <c r="AC70" s="592"/>
      <c r="AD70" s="592"/>
      <c r="AE70" s="592"/>
      <c r="AF70" s="592"/>
    </row>
    <row r="71" spans="1:32" s="6" customFormat="1" ht="15.95" customHeight="1" x14ac:dyDescent="0.15">
      <c r="A71" s="373"/>
      <c r="B71" s="373"/>
      <c r="C71" s="373"/>
      <c r="D71" s="373"/>
      <c r="E71" s="373"/>
      <c r="F71" s="373"/>
      <c r="G71" s="373"/>
      <c r="H71" s="373"/>
      <c r="I71" s="373"/>
      <c r="J71" s="373"/>
      <c r="K71" s="373"/>
      <c r="L71" s="373"/>
      <c r="M71" s="373"/>
      <c r="R71" s="608"/>
      <c r="S71" s="608" t="s">
        <v>447</v>
      </c>
      <c r="T71" s="619">
        <v>1.2</v>
      </c>
      <c r="U71" s="620" t="str">
        <f>IF(T68&gt;50,"  ← Governs","")</f>
        <v/>
      </c>
      <c r="V71" s="592"/>
      <c r="W71" s="608"/>
      <c r="X71" s="608" t="s">
        <v>447</v>
      </c>
      <c r="Y71" s="619">
        <v>1.4</v>
      </c>
      <c r="Z71" s="620" t="str">
        <f>IF(Y68&gt;50,"  ← Governs","")</f>
        <v/>
      </c>
      <c r="AA71" s="592"/>
      <c r="AB71" s="592"/>
      <c r="AC71" s="592"/>
      <c r="AD71" s="592"/>
      <c r="AE71" s="592"/>
      <c r="AF71" s="592"/>
    </row>
    <row r="72" spans="1:32" s="6" customFormat="1" ht="15.95" customHeight="1" x14ac:dyDescent="0.15">
      <c r="A72" s="373"/>
      <c r="B72" s="373"/>
      <c r="C72" s="373"/>
      <c r="D72" s="373"/>
      <c r="E72" s="373"/>
      <c r="F72" s="373"/>
      <c r="G72" s="373"/>
      <c r="H72" s="373"/>
      <c r="I72" s="373"/>
      <c r="J72" s="373"/>
      <c r="K72" s="373"/>
      <c r="L72" s="373"/>
      <c r="M72" s="373"/>
      <c r="R72" s="608"/>
      <c r="S72" s="621" t="s">
        <v>448</v>
      </c>
      <c r="T72" s="622">
        <f>IF(T68&lt;=2,T69,IF(T68&gt;50,T71,T70))</f>
        <v>1.6758422189786053</v>
      </c>
      <c r="U72" s="608"/>
      <c r="V72" s="592"/>
      <c r="W72" s="608"/>
      <c r="X72" s="621" t="s">
        <v>448</v>
      </c>
      <c r="Y72" s="622">
        <f>IF(Y68&lt;=1,Y69,IF(Y68&gt;50,Y71,Y70))</f>
        <v>1.7913541937196458</v>
      </c>
      <c r="Z72" s="608"/>
      <c r="AA72" s="592"/>
      <c r="AB72" s="592"/>
      <c r="AC72" s="592"/>
      <c r="AD72" s="592"/>
      <c r="AE72" s="592"/>
      <c r="AF72" s="592"/>
    </row>
    <row r="73" spans="1:32" s="526" customFormat="1" ht="15.95" customHeight="1" x14ac:dyDescent="0.15">
      <c r="A73" s="373"/>
      <c r="B73" s="373"/>
      <c r="C73" s="373"/>
      <c r="D73" s="373"/>
      <c r="E73" s="373"/>
      <c r="F73" s="373"/>
      <c r="G73" s="373"/>
      <c r="H73" s="373"/>
      <c r="I73" s="373"/>
      <c r="J73" s="373"/>
      <c r="K73" s="373"/>
      <c r="L73" s="373"/>
      <c r="M73" s="373"/>
      <c r="R73" s="623"/>
      <c r="S73" s="623"/>
      <c r="T73" s="623"/>
      <c r="U73" s="623"/>
      <c r="V73" s="592"/>
      <c r="W73" s="623"/>
      <c r="X73" s="623"/>
      <c r="Y73" s="623"/>
      <c r="Z73" s="592"/>
      <c r="AA73" s="592"/>
      <c r="AB73" s="623"/>
      <c r="AC73" s="623"/>
      <c r="AD73" s="623"/>
      <c r="AE73" s="623"/>
      <c r="AF73" s="623"/>
    </row>
    <row r="74" spans="1:32" s="6" customFormat="1" ht="15.95" customHeight="1" x14ac:dyDescent="0.15">
      <c r="A74" s="373"/>
      <c r="B74" s="373"/>
      <c r="C74" s="373"/>
      <c r="D74" s="373"/>
      <c r="E74" s="373"/>
      <c r="F74" s="373"/>
      <c r="G74" s="373"/>
      <c r="H74" s="373"/>
      <c r="I74" s="373"/>
      <c r="J74" s="373"/>
      <c r="K74" s="373"/>
      <c r="L74" s="373"/>
      <c r="M74" s="373"/>
      <c r="R74" s="608" t="s">
        <v>449</v>
      </c>
      <c r="S74" s="608"/>
      <c r="T74" s="608"/>
      <c r="U74" s="608"/>
      <c r="V74" s="592"/>
      <c r="W74" s="608" t="s">
        <v>450</v>
      </c>
      <c r="X74" s="608"/>
      <c r="Y74" s="608"/>
      <c r="Z74" s="608"/>
      <c r="AA74" s="592"/>
      <c r="AB74" s="592"/>
      <c r="AC74" s="592"/>
      <c r="AD74" s="592"/>
      <c r="AE74" s="592"/>
      <c r="AF74" s="592"/>
    </row>
    <row r="75" spans="1:32" s="6" customFormat="1" ht="15.95" customHeight="1" x14ac:dyDescent="0.15">
      <c r="A75" s="373"/>
      <c r="B75" s="373"/>
      <c r="C75" s="373"/>
      <c r="D75" s="373"/>
      <c r="E75" s="373"/>
      <c r="F75" s="373"/>
      <c r="G75" s="373"/>
      <c r="H75" s="373"/>
      <c r="I75" s="373"/>
      <c r="J75" s="373"/>
      <c r="K75" s="373"/>
      <c r="L75" s="373"/>
      <c r="M75" s="373"/>
      <c r="R75" s="608" t="s">
        <v>52</v>
      </c>
      <c r="S75" s="615" t="s">
        <v>442</v>
      </c>
      <c r="T75" s="616">
        <f>T68</f>
        <v>3.9</v>
      </c>
      <c r="U75" s="617" t="s">
        <v>443</v>
      </c>
      <c r="V75" s="592"/>
      <c r="W75" s="608" t="s">
        <v>52</v>
      </c>
      <c r="X75" s="615" t="s">
        <v>442</v>
      </c>
      <c r="Y75" s="616">
        <f>T68</f>
        <v>3.9</v>
      </c>
      <c r="Z75" s="617" t="s">
        <v>443</v>
      </c>
      <c r="AA75" s="592"/>
      <c r="AB75" s="592"/>
      <c r="AC75" s="592"/>
      <c r="AD75" s="592"/>
      <c r="AE75" s="592"/>
      <c r="AF75" s="592"/>
    </row>
    <row r="76" spans="1:32" s="6" customFormat="1" ht="15.95" customHeight="1" x14ac:dyDescent="0.15">
      <c r="A76" s="373"/>
      <c r="B76" s="373"/>
      <c r="C76" s="373"/>
      <c r="D76" s="373"/>
      <c r="E76" s="373"/>
      <c r="F76" s="373"/>
      <c r="G76" s="373"/>
      <c r="H76" s="373"/>
      <c r="I76" s="373"/>
      <c r="J76" s="373"/>
      <c r="K76" s="373"/>
      <c r="L76" s="373"/>
      <c r="M76" s="373"/>
      <c r="R76" s="608" t="s">
        <v>53</v>
      </c>
      <c r="S76" s="618" t="s">
        <v>444</v>
      </c>
      <c r="T76" s="619">
        <v>-1.8</v>
      </c>
      <c r="U76" s="620" t="str">
        <f>IF(T75&lt;=2,"  ← Governs","")</f>
        <v/>
      </c>
      <c r="V76" s="592"/>
      <c r="W76" s="608" t="s">
        <v>53</v>
      </c>
      <c r="X76" s="608" t="s">
        <v>54</v>
      </c>
      <c r="Y76" s="624">
        <v>-2.2000000000000002</v>
      </c>
      <c r="Z76" s="620" t="str">
        <f>IF(Y75&lt;=1," ← Governs","")</f>
        <v/>
      </c>
      <c r="AA76" s="592"/>
      <c r="AB76" s="592"/>
      <c r="AC76" s="592"/>
      <c r="AD76" s="592"/>
      <c r="AE76" s="592"/>
      <c r="AF76" s="592"/>
    </row>
    <row r="77" spans="1:32" s="6" customFormat="1" ht="15.95" customHeight="1" x14ac:dyDescent="0.15">
      <c r="A77" s="373"/>
      <c r="B77" s="373"/>
      <c r="C77" s="373"/>
      <c r="D77" s="373"/>
      <c r="E77" s="373"/>
      <c r="F77" s="373"/>
      <c r="G77" s="373"/>
      <c r="H77" s="373"/>
      <c r="I77" s="373"/>
      <c r="J77" s="373"/>
      <c r="K77" s="373"/>
      <c r="L77" s="373"/>
      <c r="M77" s="373"/>
      <c r="R77" s="608"/>
      <c r="S77" s="618" t="s">
        <v>446</v>
      </c>
      <c r="T77" s="619">
        <f>-1.89+0.29*LOG(T75)</f>
        <v>-1.7185912639623151</v>
      </c>
      <c r="U77" s="620" t="str">
        <f>IF((2&lt;+T75)*AND(T75&lt;=50),"  ← Governs","")</f>
        <v xml:space="preserve">  ← Governs</v>
      </c>
      <c r="V77" s="592"/>
      <c r="W77" s="608"/>
      <c r="X77" s="608" t="s">
        <v>55</v>
      </c>
      <c r="Y77" s="624">
        <f>-2.2+0.353*LOG(Y75)</f>
        <v>-1.9913541937196459</v>
      </c>
      <c r="Z77" s="625" t="str">
        <f>IF((1&lt;+Y75)*AND(Y75&lt;=50),"&lt;--GOVERNS","")</f>
        <v>&lt;--GOVERNS</v>
      </c>
      <c r="AA77" s="592"/>
      <c r="AB77" s="592"/>
      <c r="AC77" s="592"/>
      <c r="AD77" s="592"/>
      <c r="AE77" s="592"/>
      <c r="AF77" s="592"/>
    </row>
    <row r="78" spans="1:32" s="6" customFormat="1" ht="15.95" customHeight="1" x14ac:dyDescent="0.15">
      <c r="A78" s="373"/>
      <c r="B78" s="373"/>
      <c r="C78" s="373"/>
      <c r="D78" s="373"/>
      <c r="E78" s="373"/>
      <c r="F78" s="373"/>
      <c r="G78" s="373"/>
      <c r="H78" s="373"/>
      <c r="I78" s="373"/>
      <c r="J78" s="373"/>
      <c r="K78" s="373"/>
      <c r="L78" s="373"/>
      <c r="M78" s="373"/>
      <c r="R78" s="608"/>
      <c r="S78" s="608" t="s">
        <v>447</v>
      </c>
      <c r="T78" s="619">
        <v>-1.4</v>
      </c>
      <c r="U78" s="620" t="str">
        <f>IF(T75&gt;50,"  ← Governs","")</f>
        <v/>
      </c>
      <c r="V78" s="592"/>
      <c r="W78" s="608"/>
      <c r="X78" s="608" t="s">
        <v>56</v>
      </c>
      <c r="Y78" s="624">
        <v>-1.6</v>
      </c>
      <c r="Z78" s="625" t="str">
        <f>IF(Y75&gt;50,"&lt;--GOVERNS","")</f>
        <v/>
      </c>
      <c r="AA78" s="592"/>
      <c r="AB78" s="592"/>
      <c r="AC78" s="592"/>
      <c r="AD78" s="592"/>
      <c r="AE78" s="592"/>
      <c r="AF78" s="592"/>
    </row>
    <row r="79" spans="1:32" s="6" customFormat="1" ht="15.95" customHeight="1" x14ac:dyDescent="0.15">
      <c r="A79" s="373"/>
      <c r="B79" s="373"/>
      <c r="C79" s="373"/>
      <c r="D79" s="373"/>
      <c r="E79" s="373"/>
      <c r="F79" s="373"/>
      <c r="G79" s="373"/>
      <c r="H79" s="373"/>
      <c r="I79" s="373"/>
      <c r="J79" s="373"/>
      <c r="K79" s="373"/>
      <c r="L79" s="373"/>
      <c r="M79" s="373"/>
      <c r="R79" s="608"/>
      <c r="S79" s="621" t="s">
        <v>448</v>
      </c>
      <c r="T79" s="622">
        <f>IF(T75&lt;=2,T76,IF(T75&gt;50,T78,T77))</f>
        <v>-1.7185912639623151</v>
      </c>
      <c r="U79" s="608"/>
      <c r="V79" s="592"/>
      <c r="W79" s="608"/>
      <c r="X79" s="621" t="s">
        <v>448</v>
      </c>
      <c r="Y79" s="622">
        <f>IF(Y75&lt;=1,Y76,IF(Y75&gt;50,Y78,Y77))</f>
        <v>-1.9913541937196459</v>
      </c>
      <c r="Z79" s="608"/>
      <c r="AA79" s="592"/>
      <c r="AB79" s="592"/>
      <c r="AC79" s="592"/>
      <c r="AD79" s="592"/>
      <c r="AE79" s="592"/>
      <c r="AF79" s="592"/>
    </row>
    <row r="80" spans="1:32" s="6" customFormat="1" ht="15.95" customHeight="1" x14ac:dyDescent="0.15">
      <c r="A80" s="373"/>
      <c r="B80" s="373"/>
      <c r="C80" s="373"/>
      <c r="D80" s="373"/>
      <c r="E80" s="373"/>
      <c r="F80" s="373"/>
      <c r="G80" s="373"/>
      <c r="H80" s="373"/>
      <c r="I80" s="373"/>
      <c r="J80" s="373"/>
      <c r="K80" s="373"/>
      <c r="L80" s="373"/>
      <c r="M80" s="373"/>
      <c r="R80" s="592"/>
      <c r="S80" s="592"/>
      <c r="T80" s="592"/>
      <c r="U80" s="592"/>
      <c r="V80" s="592"/>
      <c r="W80" s="592"/>
      <c r="X80" s="592"/>
      <c r="Y80" s="592"/>
      <c r="Z80" s="592"/>
      <c r="AA80" s="592"/>
      <c r="AB80" s="592"/>
      <c r="AC80" s="592"/>
      <c r="AD80" s="592"/>
      <c r="AE80" s="592"/>
      <c r="AF80" s="592"/>
    </row>
    <row r="81" spans="1:32" s="6" customFormat="1" ht="15.95" customHeight="1" x14ac:dyDescent="0.15">
      <c r="A81" s="373"/>
      <c r="B81" s="586"/>
      <c r="C81" s="613"/>
      <c r="D81" s="373"/>
      <c r="E81" s="373"/>
      <c r="F81" s="373"/>
      <c r="G81" s="373"/>
      <c r="H81" s="373"/>
      <c r="I81" s="373"/>
      <c r="J81" s="373"/>
      <c r="K81" s="373"/>
      <c r="L81" s="373"/>
      <c r="M81" s="373"/>
      <c r="R81" s="608" t="s">
        <v>451</v>
      </c>
      <c r="S81" s="608"/>
      <c r="T81" s="608"/>
      <c r="U81" s="608"/>
      <c r="V81" s="592"/>
      <c r="W81" s="608" t="s">
        <v>452</v>
      </c>
      <c r="X81" s="608"/>
      <c r="Y81" s="608"/>
      <c r="Z81" s="608"/>
      <c r="AA81" s="592"/>
      <c r="AB81" s="592"/>
      <c r="AC81" s="592"/>
      <c r="AD81" s="592"/>
      <c r="AE81" s="592"/>
      <c r="AF81" s="592"/>
    </row>
    <row r="82" spans="1:32" s="6" customFormat="1" ht="15.95" customHeight="1" x14ac:dyDescent="0.15">
      <c r="A82" s="613"/>
      <c r="B82" s="373"/>
      <c r="C82" s="373"/>
      <c r="D82" s="613"/>
      <c r="E82" s="613"/>
      <c r="F82" s="373"/>
      <c r="G82" s="373"/>
      <c r="H82" s="373"/>
      <c r="I82" s="373"/>
      <c r="J82" s="373"/>
      <c r="K82" s="373"/>
      <c r="L82" s="373"/>
      <c r="M82" s="373"/>
      <c r="R82" s="608" t="s">
        <v>52</v>
      </c>
      <c r="S82" s="615" t="s">
        <v>442</v>
      </c>
      <c r="T82" s="616">
        <f>T68</f>
        <v>3.9</v>
      </c>
      <c r="U82" s="617" t="s">
        <v>443</v>
      </c>
      <c r="V82" s="592"/>
      <c r="W82" s="608" t="s">
        <v>52</v>
      </c>
      <c r="X82" s="615" t="s">
        <v>442</v>
      </c>
      <c r="Y82" s="616">
        <f>T68</f>
        <v>3.9</v>
      </c>
      <c r="Z82" s="617" t="s">
        <v>443</v>
      </c>
      <c r="AA82" s="592"/>
      <c r="AB82" s="592"/>
      <c r="AC82" s="592"/>
      <c r="AD82" s="592"/>
      <c r="AE82" s="592"/>
      <c r="AF82" s="592"/>
    </row>
    <row r="83" spans="1:32" s="6" customFormat="1" ht="15.95" customHeight="1" x14ac:dyDescent="0.15">
      <c r="A83" s="373"/>
      <c r="B83" s="373"/>
      <c r="C83" s="373"/>
      <c r="D83" s="373"/>
      <c r="E83" s="373"/>
      <c r="F83" s="373"/>
      <c r="G83" s="373"/>
      <c r="H83" s="373"/>
      <c r="I83" s="373"/>
      <c r="J83" s="373"/>
      <c r="K83" s="373"/>
      <c r="L83" s="373"/>
      <c r="M83" s="373"/>
      <c r="R83" s="608" t="s">
        <v>53</v>
      </c>
      <c r="S83" s="618" t="s">
        <v>444</v>
      </c>
      <c r="T83" s="619">
        <v>-3.6</v>
      </c>
      <c r="U83" s="620" t="str">
        <f>IF(T82&lt;=2,"  ← Governs","")</f>
        <v/>
      </c>
      <c r="V83" s="592"/>
      <c r="W83" s="608" t="s">
        <v>53</v>
      </c>
      <c r="X83" s="608" t="s">
        <v>54</v>
      </c>
      <c r="Y83" s="624">
        <v>-2.8</v>
      </c>
      <c r="Z83" s="620" t="str">
        <f>IF(Y82&lt;=1," ← Governs","")</f>
        <v/>
      </c>
      <c r="AA83" s="592"/>
      <c r="AB83" s="592"/>
      <c r="AC83" s="592"/>
      <c r="AD83" s="592"/>
      <c r="AE83" s="592"/>
      <c r="AF83" s="592"/>
    </row>
    <row r="84" spans="1:32" s="6" customFormat="1" ht="15.95" customHeight="1" x14ac:dyDescent="0.15">
      <c r="A84" s="373"/>
      <c r="B84" s="373"/>
      <c r="C84" s="373"/>
      <c r="D84" s="373"/>
      <c r="E84" s="373"/>
      <c r="F84" s="373"/>
      <c r="G84" s="373"/>
      <c r="H84" s="373"/>
      <c r="I84" s="373"/>
      <c r="J84" s="373"/>
      <c r="K84" s="373"/>
      <c r="L84" s="373"/>
      <c r="M84" s="373"/>
      <c r="R84" s="608"/>
      <c r="S84" s="618" t="s">
        <v>446</v>
      </c>
      <c r="T84" s="619">
        <f>-3.94+1.14*LOG(T82)</f>
        <v>-3.266186347989791</v>
      </c>
      <c r="U84" s="620" t="str">
        <f>IF((2&lt;+T82)*AND(T82&lt;=50),"  ← Governs","")</f>
        <v xml:space="preserve">  ← Governs</v>
      </c>
      <c r="V84" s="592"/>
      <c r="W84" s="608"/>
      <c r="X84" s="608" t="s">
        <v>55</v>
      </c>
      <c r="Y84" s="624">
        <f>-2.8+0.706*LOG(Y82)</f>
        <v>-2.3827083874392914</v>
      </c>
      <c r="Z84" s="625" t="str">
        <f>IF((1&lt;+Y82)*AND(Y82&lt;=50),"&lt;--GOVERNS","")</f>
        <v>&lt;--GOVERNS</v>
      </c>
      <c r="AA84" s="592"/>
      <c r="AB84" s="592"/>
      <c r="AC84" s="592"/>
      <c r="AD84" s="592"/>
      <c r="AE84" s="592"/>
      <c r="AF84" s="592"/>
    </row>
    <row r="85" spans="1:32" s="6" customFormat="1" ht="15.95" customHeight="1" x14ac:dyDescent="0.15">
      <c r="A85" s="373"/>
      <c r="B85" s="373"/>
      <c r="C85" s="373"/>
      <c r="D85" s="373"/>
      <c r="E85" s="373"/>
      <c r="F85" s="373"/>
      <c r="G85" s="373"/>
      <c r="H85" s="373"/>
      <c r="I85" s="373"/>
      <c r="J85" s="373"/>
      <c r="K85" s="373"/>
      <c r="L85" s="373"/>
      <c r="M85" s="373"/>
      <c r="R85" s="608"/>
      <c r="S85" s="608" t="s">
        <v>447</v>
      </c>
      <c r="T85" s="619">
        <v>-2</v>
      </c>
      <c r="U85" s="620" t="str">
        <f>IF(T82&gt;50,"  ← Governs","")</f>
        <v/>
      </c>
      <c r="V85" s="592"/>
      <c r="W85" s="608"/>
      <c r="X85" s="608" t="s">
        <v>56</v>
      </c>
      <c r="Y85" s="624">
        <v>-1.6</v>
      </c>
      <c r="Z85" s="625" t="str">
        <f>IF(Y82&gt;50,"&lt;--GOVERNS","")</f>
        <v/>
      </c>
      <c r="AA85" s="592"/>
      <c r="AB85" s="592"/>
      <c r="AC85" s="592"/>
      <c r="AD85" s="592"/>
      <c r="AE85" s="592"/>
      <c r="AF85" s="592"/>
    </row>
    <row r="86" spans="1:32" s="6" customFormat="1" ht="15.95" customHeight="1" x14ac:dyDescent="0.15">
      <c r="A86" s="373"/>
      <c r="B86" s="373"/>
      <c r="C86" s="373"/>
      <c r="D86" s="373"/>
      <c r="E86" s="373"/>
      <c r="F86" s="373"/>
      <c r="G86" s="373"/>
      <c r="H86" s="373"/>
      <c r="I86" s="373"/>
      <c r="J86" s="373"/>
      <c r="K86" s="373"/>
      <c r="L86" s="373"/>
      <c r="M86" s="373"/>
      <c r="R86" s="608"/>
      <c r="S86" s="621" t="s">
        <v>448</v>
      </c>
      <c r="T86" s="622">
        <f>IF(T82&lt;=2,T83,IF(T82&gt;50,T85,T84))</f>
        <v>-3.266186347989791</v>
      </c>
      <c r="U86" s="608"/>
      <c r="V86" s="592"/>
      <c r="W86" s="608"/>
      <c r="X86" s="621" t="s">
        <v>448</v>
      </c>
      <c r="Y86" s="622">
        <f>IF(Y82&lt;=1,Y83,IF(Y82&gt;50,Y85,Y84))</f>
        <v>-2.3827083874392914</v>
      </c>
      <c r="Z86" s="608"/>
      <c r="AA86" s="592"/>
      <c r="AB86" s="592"/>
      <c r="AC86" s="592"/>
      <c r="AD86" s="592"/>
      <c r="AE86" s="592"/>
      <c r="AF86" s="592"/>
    </row>
    <row r="87" spans="1:32" s="6" customFormat="1" ht="15.95" customHeight="1" x14ac:dyDescent="0.15">
      <c r="A87" s="373"/>
      <c r="B87" s="373"/>
      <c r="C87" s="373"/>
      <c r="D87" s="373"/>
      <c r="E87" s="373"/>
      <c r="F87" s="373"/>
      <c r="G87" s="373"/>
      <c r="H87" s="373"/>
      <c r="I87" s="373"/>
      <c r="J87" s="373"/>
      <c r="K87" s="373"/>
      <c r="L87" s="373"/>
      <c r="M87" s="373"/>
      <c r="R87" s="592"/>
      <c r="S87" s="592"/>
      <c r="T87" s="592"/>
      <c r="U87" s="592"/>
      <c r="V87" s="592"/>
      <c r="W87" s="592"/>
      <c r="X87" s="592"/>
      <c r="Y87" s="592"/>
      <c r="Z87" s="592"/>
      <c r="AA87" s="592"/>
      <c r="AB87" s="592"/>
      <c r="AC87" s="592"/>
      <c r="AD87" s="592"/>
      <c r="AE87" s="592"/>
      <c r="AF87" s="592"/>
    </row>
    <row r="88" spans="1:32" s="6" customFormat="1" ht="15.95" customHeight="1" x14ac:dyDescent="0.15">
      <c r="A88" s="373"/>
      <c r="B88" s="626"/>
      <c r="C88" s="373"/>
      <c r="D88" s="373"/>
      <c r="E88" s="373"/>
      <c r="F88" s="373"/>
      <c r="G88" s="373"/>
      <c r="H88" s="373"/>
      <c r="I88" s="373"/>
      <c r="J88" s="373"/>
      <c r="K88" s="373"/>
      <c r="L88" s="373"/>
      <c r="M88" s="373"/>
      <c r="R88" s="592"/>
      <c r="S88" s="592"/>
      <c r="T88" s="592"/>
      <c r="U88" s="592"/>
      <c r="V88" s="592"/>
      <c r="W88" s="592"/>
      <c r="X88" s="592"/>
      <c r="Y88" s="592"/>
      <c r="Z88" s="592"/>
      <c r="AA88" s="592"/>
      <c r="AB88" s="592"/>
      <c r="AC88" s="592"/>
      <c r="AD88" s="592"/>
      <c r="AE88" s="592"/>
      <c r="AF88" s="592"/>
    </row>
    <row r="89" spans="1:32" s="6" customFormat="1" ht="15.95" customHeight="1" x14ac:dyDescent="0.15">
      <c r="A89" s="373"/>
      <c r="B89" s="373"/>
      <c r="C89" s="373"/>
      <c r="D89" s="373"/>
      <c r="E89" s="373"/>
      <c r="F89" s="373"/>
      <c r="G89" s="373"/>
      <c r="H89" s="373"/>
      <c r="I89" s="373"/>
      <c r="J89" s="373"/>
      <c r="K89" s="373"/>
      <c r="L89" s="373"/>
      <c r="M89" s="373"/>
      <c r="R89" s="592"/>
      <c r="S89" s="592"/>
      <c r="T89" s="592"/>
      <c r="U89" s="592"/>
      <c r="V89" s="592"/>
      <c r="W89" s="592"/>
      <c r="X89" s="592"/>
      <c r="Y89" s="592"/>
      <c r="Z89" s="592"/>
      <c r="AA89" s="592"/>
      <c r="AB89" s="592"/>
      <c r="AC89" s="592"/>
      <c r="AD89" s="592"/>
      <c r="AE89" s="592"/>
      <c r="AF89" s="592"/>
    </row>
    <row r="90" spans="1:32" s="6" customFormat="1" ht="15.95" customHeight="1" x14ac:dyDescent="0.15">
      <c r="A90" s="373"/>
      <c r="B90" s="373"/>
      <c r="C90" s="373"/>
      <c r="D90" s="373"/>
      <c r="E90" s="373"/>
      <c r="F90" s="373"/>
      <c r="G90" s="590"/>
      <c r="H90" s="373"/>
      <c r="I90" s="373"/>
      <c r="J90" s="373"/>
      <c r="K90" s="373"/>
      <c r="L90" s="373"/>
      <c r="M90" s="373"/>
      <c r="R90" s="592"/>
      <c r="S90" s="592"/>
      <c r="T90" s="592"/>
      <c r="U90" s="592"/>
      <c r="V90" s="592"/>
      <c r="W90" s="592"/>
      <c r="X90" s="592"/>
      <c r="Y90" s="592"/>
      <c r="Z90" s="592"/>
      <c r="AA90" s="592"/>
      <c r="AB90" s="592"/>
      <c r="AC90" s="592"/>
      <c r="AD90" s="592"/>
      <c r="AE90" s="592"/>
      <c r="AF90" s="592"/>
    </row>
    <row r="91" spans="1:32" s="6" customFormat="1" ht="15.95" customHeight="1" x14ac:dyDescent="0.15">
      <c r="A91" s="373"/>
      <c r="B91" s="373"/>
      <c r="C91" s="373"/>
      <c r="D91" s="373"/>
      <c r="E91" s="373"/>
      <c r="F91" s="373"/>
      <c r="G91" s="590"/>
      <c r="H91" s="373"/>
      <c r="I91" s="373"/>
      <c r="J91" s="373"/>
      <c r="K91" s="373"/>
      <c r="L91" s="373"/>
      <c r="M91" s="373"/>
      <c r="R91" s="592"/>
      <c r="S91" s="592"/>
      <c r="T91" s="592"/>
      <c r="U91" s="592"/>
      <c r="V91" s="592"/>
      <c r="W91" s="592"/>
      <c r="X91" s="592"/>
      <c r="Y91" s="592"/>
      <c r="Z91" s="592"/>
      <c r="AA91" s="592"/>
      <c r="AB91" s="592"/>
      <c r="AC91" s="592"/>
      <c r="AD91" s="592"/>
      <c r="AE91" s="592"/>
      <c r="AF91" s="592"/>
    </row>
    <row r="92" spans="1:32" s="6" customFormat="1" ht="15.95" customHeight="1" x14ac:dyDescent="0.15">
      <c r="A92" s="373"/>
      <c r="B92" s="373"/>
      <c r="C92" s="373"/>
      <c r="D92" s="373"/>
      <c r="E92" s="373"/>
      <c r="F92" s="373"/>
      <c r="G92" s="373"/>
      <c r="H92" s="373"/>
      <c r="I92" s="373"/>
      <c r="J92" s="373"/>
      <c r="K92" s="373"/>
      <c r="L92" s="373"/>
      <c r="M92" s="373"/>
      <c r="R92" s="592"/>
      <c r="S92" s="592"/>
      <c r="T92" s="592"/>
      <c r="U92" s="592"/>
      <c r="V92" s="592"/>
      <c r="W92" s="592"/>
      <c r="X92" s="592"/>
      <c r="Y92" s="592"/>
      <c r="Z92" s="592"/>
      <c r="AA92" s="592"/>
      <c r="AB92" s="592"/>
      <c r="AC92" s="592"/>
      <c r="AD92" s="592"/>
      <c r="AE92" s="592"/>
      <c r="AF92" s="592"/>
    </row>
    <row r="93" spans="1:32" s="6" customFormat="1" ht="15.95" customHeight="1" x14ac:dyDescent="0.15">
      <c r="A93" s="373"/>
      <c r="B93" s="373"/>
      <c r="C93" s="373"/>
      <c r="D93" s="373"/>
      <c r="E93" s="373"/>
      <c r="F93" s="373"/>
      <c r="G93" s="373"/>
      <c r="H93" s="373"/>
      <c r="I93" s="373"/>
      <c r="J93" s="373"/>
      <c r="K93" s="373"/>
      <c r="L93" s="373"/>
      <c r="M93" s="373"/>
      <c r="R93" s="592"/>
      <c r="S93" s="592"/>
      <c r="T93" s="592"/>
      <c r="U93" s="592"/>
      <c r="V93" s="592"/>
      <c r="W93" s="592"/>
      <c r="X93" s="592"/>
      <c r="Y93" s="592"/>
      <c r="Z93" s="592"/>
      <c r="AA93" s="592"/>
      <c r="AB93" s="592"/>
      <c r="AC93" s="592"/>
      <c r="AD93" s="592"/>
      <c r="AE93" s="592"/>
      <c r="AF93" s="592"/>
    </row>
    <row r="94" spans="1:32" s="6" customFormat="1" ht="15.95" customHeight="1" x14ac:dyDescent="0.15">
      <c r="A94" s="373"/>
      <c r="B94" s="373"/>
      <c r="C94" s="373"/>
      <c r="D94" s="373"/>
      <c r="E94" s="373"/>
      <c r="F94" s="373"/>
      <c r="G94" s="373"/>
      <c r="H94" s="373"/>
      <c r="I94" s="373"/>
      <c r="J94" s="373"/>
      <c r="K94" s="373"/>
      <c r="L94" s="373"/>
      <c r="M94" s="373"/>
      <c r="R94" s="592"/>
      <c r="S94" s="592"/>
      <c r="T94" s="592"/>
      <c r="U94" s="592"/>
      <c r="V94" s="592"/>
      <c r="W94" s="592"/>
      <c r="X94" s="592"/>
      <c r="Y94" s="592"/>
      <c r="Z94" s="592"/>
      <c r="AA94" s="592"/>
      <c r="AB94" s="592"/>
      <c r="AC94" s="592"/>
      <c r="AD94" s="592"/>
      <c r="AE94" s="592"/>
      <c r="AF94" s="592"/>
    </row>
    <row r="95" spans="1:32" s="6" customFormat="1" ht="15.95" customHeight="1" x14ac:dyDescent="0.15">
      <c r="A95" s="373"/>
      <c r="B95" s="373"/>
      <c r="C95" s="373"/>
      <c r="D95" s="373"/>
      <c r="E95" s="373"/>
      <c r="F95" s="373"/>
      <c r="G95" s="373"/>
      <c r="H95" s="373"/>
      <c r="I95" s="373"/>
      <c r="J95" s="373"/>
      <c r="K95" s="373"/>
      <c r="L95" s="373"/>
      <c r="M95" s="373"/>
      <c r="R95" s="592"/>
      <c r="S95" s="592"/>
      <c r="T95" s="592"/>
      <c r="U95" s="592"/>
      <c r="V95" s="592"/>
      <c r="W95" s="592"/>
      <c r="X95" s="592"/>
      <c r="Y95" s="592"/>
      <c r="Z95" s="592"/>
      <c r="AA95" s="592"/>
      <c r="AB95" s="592"/>
      <c r="AC95" s="592"/>
      <c r="AD95" s="592"/>
      <c r="AE95" s="592"/>
      <c r="AF95" s="592"/>
    </row>
    <row r="96" spans="1:32" s="6" customFormat="1" ht="15.95" customHeight="1" x14ac:dyDescent="0.15">
      <c r="A96" s="373"/>
      <c r="B96" s="373"/>
      <c r="C96" s="373"/>
      <c r="D96" s="373"/>
      <c r="E96" s="373"/>
      <c r="F96" s="373"/>
      <c r="G96" s="373"/>
      <c r="H96" s="373"/>
      <c r="I96" s="373"/>
      <c r="J96" s="373"/>
      <c r="K96" s="373"/>
      <c r="L96" s="373"/>
      <c r="M96" s="373"/>
      <c r="R96" s="592"/>
      <c r="S96" s="592"/>
      <c r="T96" s="592"/>
      <c r="U96" s="592"/>
      <c r="V96" s="592"/>
      <c r="W96" s="592"/>
      <c r="X96" s="592"/>
      <c r="Y96" s="592"/>
      <c r="Z96" s="592"/>
      <c r="AA96" s="592"/>
      <c r="AB96" s="592"/>
      <c r="AC96" s="592"/>
      <c r="AD96" s="592"/>
      <c r="AE96" s="592"/>
      <c r="AF96" s="592"/>
    </row>
    <row r="97" spans="1:32" s="6" customFormat="1" ht="15.95" customHeight="1" x14ac:dyDescent="0.15">
      <c r="A97" s="373"/>
      <c r="B97" s="373"/>
      <c r="C97" s="373"/>
      <c r="D97" s="373"/>
      <c r="E97" s="373"/>
      <c r="F97" s="373"/>
      <c r="G97" s="373"/>
      <c r="H97" s="373"/>
      <c r="I97" s="373"/>
      <c r="J97" s="373"/>
      <c r="K97" s="373"/>
      <c r="L97" s="373"/>
      <c r="M97" s="373"/>
      <c r="R97" s="592"/>
      <c r="S97" s="592"/>
      <c r="T97" s="592"/>
      <c r="U97" s="592"/>
      <c r="V97" s="592"/>
      <c r="W97" s="592"/>
      <c r="X97" s="592"/>
      <c r="Y97" s="592"/>
      <c r="Z97" s="592"/>
      <c r="AA97" s="592"/>
      <c r="AB97" s="592"/>
      <c r="AC97" s="592"/>
      <c r="AD97" s="592"/>
      <c r="AE97" s="592"/>
      <c r="AF97" s="592"/>
    </row>
    <row r="98" spans="1:32" s="6" customFormat="1" ht="15.95" customHeight="1" x14ac:dyDescent="0.15">
      <c r="A98" s="373"/>
      <c r="B98" s="373"/>
      <c r="C98" s="373"/>
      <c r="D98" s="373"/>
      <c r="E98" s="373"/>
      <c r="F98" s="373"/>
      <c r="G98" s="373"/>
      <c r="H98" s="373"/>
      <c r="I98" s="373"/>
      <c r="J98" s="373"/>
      <c r="K98" s="373"/>
      <c r="L98" s="373"/>
      <c r="M98" s="373"/>
      <c r="R98" s="592"/>
      <c r="S98" s="592"/>
      <c r="T98" s="592"/>
      <c r="U98" s="592"/>
      <c r="V98" s="592"/>
      <c r="W98" s="592"/>
      <c r="X98" s="592"/>
      <c r="Y98" s="592"/>
      <c r="Z98" s="592"/>
      <c r="AA98" s="592"/>
      <c r="AB98" s="592"/>
      <c r="AC98" s="592"/>
      <c r="AD98" s="592"/>
      <c r="AE98" s="592"/>
      <c r="AF98" s="592"/>
    </row>
    <row r="99" spans="1:32" s="6" customFormat="1" ht="15.95" customHeight="1" x14ac:dyDescent="0.15">
      <c r="A99" s="373"/>
      <c r="B99" s="373"/>
      <c r="C99" s="373"/>
      <c r="D99" s="373"/>
      <c r="E99" s="373"/>
      <c r="F99" s="373"/>
      <c r="G99" s="373"/>
      <c r="H99" s="373"/>
      <c r="I99" s="373"/>
      <c r="J99" s="373"/>
      <c r="K99" s="373"/>
      <c r="L99" s="373"/>
      <c r="M99" s="373"/>
      <c r="R99" s="592"/>
      <c r="S99" s="592"/>
      <c r="T99" s="592"/>
      <c r="U99" s="592"/>
      <c r="V99" s="592"/>
      <c r="W99" s="592"/>
      <c r="X99" s="592"/>
      <c r="Y99" s="592"/>
      <c r="Z99" s="592"/>
      <c r="AA99" s="592"/>
      <c r="AB99" s="592"/>
      <c r="AC99" s="592"/>
      <c r="AD99" s="592"/>
      <c r="AE99" s="592"/>
      <c r="AF99" s="592"/>
    </row>
    <row r="100" spans="1:32" s="6" customFormat="1" ht="15.95" customHeight="1" x14ac:dyDescent="0.15">
      <c r="A100" s="373"/>
      <c r="B100" s="373"/>
      <c r="C100" s="373"/>
      <c r="D100" s="373"/>
      <c r="E100" s="373"/>
      <c r="F100" s="373"/>
      <c r="G100" s="373"/>
      <c r="H100" s="373"/>
      <c r="I100" s="373"/>
      <c r="J100" s="373"/>
      <c r="K100" s="373"/>
      <c r="L100" s="373"/>
      <c r="M100" s="373"/>
      <c r="R100" s="592"/>
      <c r="S100" s="592"/>
      <c r="T100" s="592"/>
      <c r="U100" s="592"/>
      <c r="V100" s="592"/>
      <c r="W100" s="592"/>
      <c r="X100" s="592"/>
      <c r="Y100" s="592"/>
      <c r="Z100" s="592"/>
      <c r="AA100" s="592"/>
      <c r="AB100" s="592"/>
      <c r="AC100" s="592"/>
      <c r="AD100" s="592"/>
      <c r="AE100" s="592"/>
      <c r="AF100" s="592"/>
    </row>
    <row r="101" spans="1:32" s="6" customFormat="1" ht="15.95" customHeight="1" x14ac:dyDescent="0.15">
      <c r="A101" s="373"/>
      <c r="B101" s="373"/>
      <c r="C101" s="373"/>
      <c r="D101" s="373"/>
      <c r="E101" s="373"/>
      <c r="F101" s="373"/>
      <c r="G101" s="373"/>
      <c r="H101" s="373"/>
      <c r="I101" s="373"/>
      <c r="J101" s="373"/>
      <c r="K101" s="373"/>
      <c r="L101" s="373"/>
      <c r="M101" s="373"/>
      <c r="R101" s="592"/>
      <c r="S101" s="592"/>
      <c r="T101" s="592"/>
      <c r="U101" s="592"/>
      <c r="V101" s="592"/>
      <c r="W101" s="592"/>
      <c r="X101" s="592"/>
      <c r="Y101" s="592"/>
      <c r="Z101" s="592"/>
      <c r="AA101" s="592"/>
      <c r="AB101" s="592"/>
      <c r="AC101" s="592"/>
      <c r="AD101" s="592"/>
      <c r="AE101" s="592"/>
      <c r="AF101" s="592"/>
    </row>
    <row r="102" spans="1:32" s="6" customFormat="1" ht="15.95" customHeight="1" x14ac:dyDescent="0.15">
      <c r="A102" s="373"/>
      <c r="B102" s="373"/>
      <c r="C102" s="373"/>
      <c r="D102" s="373"/>
      <c r="E102" s="373"/>
      <c r="F102" s="373"/>
      <c r="G102" s="373"/>
      <c r="H102" s="373"/>
      <c r="I102" s="373"/>
      <c r="J102" s="373"/>
      <c r="K102" s="373"/>
      <c r="L102" s="373"/>
      <c r="M102" s="373"/>
      <c r="R102" s="608"/>
      <c r="S102" s="608"/>
      <c r="T102" s="608"/>
      <c r="U102" s="608"/>
      <c r="V102" s="592"/>
      <c r="W102" s="592"/>
      <c r="X102" s="592"/>
      <c r="Y102" s="592"/>
      <c r="Z102" s="592"/>
      <c r="AA102" s="592"/>
      <c r="AB102" s="592"/>
      <c r="AC102" s="592"/>
      <c r="AD102" s="592"/>
      <c r="AE102" s="592"/>
      <c r="AF102" s="592"/>
    </row>
    <row r="103" spans="1:32" s="6" customFormat="1" ht="15.95" customHeight="1" x14ac:dyDescent="0.15">
      <c r="A103" s="373"/>
      <c r="B103" s="373"/>
      <c r="C103" s="373"/>
      <c r="D103" s="373"/>
      <c r="E103" s="373"/>
      <c r="F103" s="373"/>
      <c r="G103" s="373"/>
      <c r="H103" s="373"/>
      <c r="I103" s="373"/>
      <c r="J103" s="373"/>
      <c r="K103" s="373"/>
      <c r="L103" s="373"/>
      <c r="M103" s="373"/>
      <c r="R103" s="592"/>
      <c r="S103" s="592"/>
      <c r="T103" s="592"/>
      <c r="U103" s="592"/>
      <c r="V103" s="592"/>
      <c r="W103" s="592"/>
      <c r="X103" s="592"/>
      <c r="Y103" s="592"/>
      <c r="Z103" s="592"/>
      <c r="AA103" s="592"/>
      <c r="AB103" s="592"/>
      <c r="AC103" s="592"/>
      <c r="AD103" s="592"/>
      <c r="AE103" s="592"/>
      <c r="AF103" s="592"/>
    </row>
    <row r="104" spans="1:32" s="6" customFormat="1" ht="15.95" customHeight="1" x14ac:dyDescent="0.15">
      <c r="A104" s="373"/>
      <c r="B104" s="373"/>
      <c r="C104" s="373"/>
      <c r="D104" s="373"/>
      <c r="E104" s="373"/>
      <c r="F104" s="373"/>
      <c r="G104" s="373"/>
      <c r="H104" s="373"/>
      <c r="I104" s="373"/>
      <c r="J104" s="373"/>
      <c r="K104" s="373"/>
      <c r="L104" s="373"/>
      <c r="M104" s="373"/>
      <c r="R104" s="592"/>
      <c r="S104" s="592"/>
      <c r="T104" s="592"/>
      <c r="U104" s="592"/>
      <c r="V104" s="592"/>
      <c r="W104" s="592"/>
      <c r="X104" s="592"/>
      <c r="Y104" s="592"/>
      <c r="Z104" s="592"/>
      <c r="AA104" s="592"/>
      <c r="AB104" s="592"/>
      <c r="AC104" s="592"/>
      <c r="AD104" s="592"/>
      <c r="AE104" s="592"/>
      <c r="AF104" s="592"/>
    </row>
    <row r="105" spans="1:32" s="6" customFormat="1" ht="15.95" customHeight="1" x14ac:dyDescent="0.15">
      <c r="A105" s="373"/>
      <c r="B105" s="373"/>
      <c r="C105" s="373"/>
      <c r="D105" s="373"/>
      <c r="E105" s="373"/>
      <c r="F105" s="373"/>
      <c r="G105" s="373"/>
      <c r="H105" s="373"/>
      <c r="I105" s="373"/>
      <c r="J105" s="373"/>
      <c r="K105" s="373"/>
      <c r="L105" s="373"/>
      <c r="M105" s="373"/>
      <c r="R105" s="592"/>
      <c r="S105" s="592"/>
      <c r="T105" s="592"/>
      <c r="U105" s="592"/>
      <c r="V105" s="592"/>
      <c r="W105" s="592"/>
      <c r="X105" s="592"/>
      <c r="Y105" s="592"/>
      <c r="Z105" s="592"/>
      <c r="AA105" s="592"/>
      <c r="AB105" s="592"/>
      <c r="AC105" s="592"/>
      <c r="AD105" s="592"/>
      <c r="AE105" s="592"/>
      <c r="AF105" s="592"/>
    </row>
    <row r="106" spans="1:32" s="6" customFormat="1" ht="15.95" customHeight="1" x14ac:dyDescent="0.15">
      <c r="A106" s="373"/>
      <c r="B106" s="373"/>
      <c r="C106" s="373"/>
      <c r="D106" s="373"/>
      <c r="E106" s="373"/>
      <c r="F106" s="373"/>
      <c r="G106" s="373"/>
      <c r="H106" s="373"/>
      <c r="I106" s="373"/>
      <c r="J106" s="373"/>
      <c r="K106" s="373"/>
      <c r="L106" s="373"/>
      <c r="M106" s="373"/>
      <c r="R106" s="592"/>
      <c r="S106" s="592"/>
      <c r="T106" s="592"/>
      <c r="U106" s="592"/>
      <c r="V106" s="592"/>
      <c r="W106" s="592"/>
      <c r="X106" s="592"/>
      <c r="Y106" s="592"/>
      <c r="Z106" s="592"/>
      <c r="AA106" s="592"/>
      <c r="AB106" s="592"/>
      <c r="AC106" s="592"/>
      <c r="AD106" s="592"/>
      <c r="AE106" s="592"/>
      <c r="AF106" s="592"/>
    </row>
    <row r="107" spans="1:32" s="6" customFormat="1" ht="15.95" customHeight="1" x14ac:dyDescent="0.15">
      <c r="A107" s="373"/>
      <c r="B107" s="373"/>
      <c r="C107" s="373"/>
      <c r="D107" s="373"/>
      <c r="E107" s="373"/>
      <c r="F107" s="373"/>
      <c r="G107" s="373"/>
      <c r="H107" s="373"/>
      <c r="I107" s="373"/>
      <c r="J107" s="373"/>
      <c r="K107" s="373"/>
      <c r="L107" s="373"/>
      <c r="M107" s="373"/>
      <c r="R107" s="592"/>
      <c r="S107" s="592"/>
      <c r="T107" s="592"/>
      <c r="U107" s="592"/>
      <c r="V107" s="592"/>
      <c r="W107" s="592"/>
      <c r="X107" s="592"/>
      <c r="Y107" s="592"/>
      <c r="Z107" s="592"/>
      <c r="AA107" s="592"/>
      <c r="AB107" s="592"/>
      <c r="AC107" s="592"/>
      <c r="AD107" s="592"/>
      <c r="AE107" s="592"/>
      <c r="AF107" s="592"/>
    </row>
    <row r="108" spans="1:32" s="6" customFormat="1" ht="15.95" customHeight="1" x14ac:dyDescent="0.15">
      <c r="A108" s="373"/>
      <c r="B108" s="373"/>
      <c r="C108" s="373"/>
      <c r="D108" s="373"/>
      <c r="E108" s="373"/>
      <c r="F108" s="373"/>
      <c r="G108" s="373"/>
      <c r="H108" s="373"/>
      <c r="I108" s="373"/>
      <c r="J108" s="373"/>
      <c r="K108" s="373"/>
      <c r="L108" s="373"/>
      <c r="M108" s="373"/>
      <c r="R108" s="592"/>
      <c r="S108" s="592"/>
      <c r="T108" s="592"/>
      <c r="U108" s="592"/>
      <c r="V108" s="592"/>
      <c r="W108" s="592"/>
      <c r="X108" s="592"/>
      <c r="Y108" s="592"/>
      <c r="Z108" s="592"/>
      <c r="AA108" s="592"/>
      <c r="AB108" s="592"/>
      <c r="AC108" s="592"/>
      <c r="AD108" s="592"/>
      <c r="AE108" s="592"/>
      <c r="AF108" s="592"/>
    </row>
    <row r="109" spans="1:32" s="6" customFormat="1" ht="15.95" customHeight="1" x14ac:dyDescent="0.15">
      <c r="A109" s="373"/>
      <c r="B109" s="373"/>
      <c r="C109" s="373"/>
      <c r="D109" s="373"/>
      <c r="E109" s="373"/>
      <c r="F109" s="373"/>
      <c r="G109" s="373"/>
      <c r="H109" s="373"/>
      <c r="I109" s="373"/>
      <c r="J109" s="373"/>
      <c r="K109" s="373"/>
      <c r="L109" s="373"/>
      <c r="M109" s="373"/>
      <c r="R109" s="627"/>
      <c r="S109" s="627"/>
      <c r="T109" s="627"/>
      <c r="U109" s="627"/>
      <c r="V109" s="592"/>
      <c r="W109" s="592"/>
      <c r="X109" s="592"/>
      <c r="Y109" s="592"/>
      <c r="Z109" s="592"/>
      <c r="AA109" s="592"/>
      <c r="AB109" s="592"/>
      <c r="AC109" s="592"/>
      <c r="AD109" s="592"/>
      <c r="AE109" s="592"/>
      <c r="AF109" s="592"/>
    </row>
    <row r="110" spans="1:32" s="6" customFormat="1" ht="15.95" customHeight="1" x14ac:dyDescent="0.15">
      <c r="A110" s="373"/>
      <c r="B110" s="373"/>
      <c r="C110" s="373"/>
      <c r="D110" s="373"/>
      <c r="E110" s="373"/>
      <c r="F110" s="373"/>
      <c r="G110" s="373"/>
      <c r="H110" s="373"/>
      <c r="I110" s="373"/>
      <c r="J110" s="373"/>
      <c r="K110" s="373"/>
      <c r="L110" s="373"/>
      <c r="M110" s="373"/>
      <c r="R110" s="592"/>
      <c r="S110" s="592"/>
      <c r="T110" s="592"/>
      <c r="U110" s="592"/>
      <c r="V110" s="592"/>
      <c r="W110" s="592"/>
      <c r="X110" s="592"/>
      <c r="Y110" s="592"/>
      <c r="Z110" s="592"/>
      <c r="AA110" s="592"/>
      <c r="AB110" s="592"/>
      <c r="AC110" s="592"/>
      <c r="AD110" s="592"/>
      <c r="AE110" s="592"/>
      <c r="AF110" s="592"/>
    </row>
    <row r="111" spans="1:32" s="6" customFormat="1" ht="15.95" customHeight="1" x14ac:dyDescent="0.15">
      <c r="A111" s="373"/>
      <c r="B111" s="373"/>
      <c r="C111" s="373"/>
      <c r="D111" s="373"/>
      <c r="E111" s="373"/>
      <c r="F111" s="373"/>
      <c r="G111" s="373"/>
      <c r="H111" s="373"/>
      <c r="I111" s="373"/>
      <c r="J111" s="373"/>
      <c r="K111" s="373"/>
      <c r="L111" s="373"/>
      <c r="M111" s="373"/>
      <c r="R111" s="592"/>
      <c r="S111" s="592"/>
      <c r="T111" s="592"/>
      <c r="U111" s="592"/>
      <c r="V111" s="592"/>
      <c r="W111" s="592"/>
      <c r="X111" s="592"/>
      <c r="Y111" s="592"/>
      <c r="Z111" s="592"/>
      <c r="AA111" s="592"/>
      <c r="AB111" s="592"/>
      <c r="AC111" s="592"/>
      <c r="AD111" s="592"/>
      <c r="AE111" s="592"/>
      <c r="AF111" s="592"/>
    </row>
    <row r="112" spans="1:32" s="6" customFormat="1" ht="15.95" customHeight="1" x14ac:dyDescent="0.15">
      <c r="A112" s="373"/>
      <c r="B112" s="373"/>
      <c r="C112" s="373"/>
      <c r="D112" s="373"/>
      <c r="E112" s="373"/>
      <c r="F112" s="373"/>
      <c r="G112" s="373"/>
      <c r="H112" s="373"/>
      <c r="I112" s="373"/>
      <c r="J112" s="373"/>
      <c r="K112" s="373"/>
      <c r="L112" s="373"/>
      <c r="M112" s="373"/>
      <c r="R112" s="592"/>
      <c r="S112" s="592"/>
      <c r="T112" s="592"/>
      <c r="U112" s="592"/>
      <c r="V112" s="592"/>
      <c r="W112" s="592"/>
      <c r="X112" s="592"/>
      <c r="Y112" s="592"/>
      <c r="Z112" s="592"/>
      <c r="AA112" s="592"/>
      <c r="AB112" s="592"/>
      <c r="AC112" s="592"/>
      <c r="AD112" s="592"/>
      <c r="AE112" s="592"/>
      <c r="AF112" s="592"/>
    </row>
    <row r="113" spans="1:32" s="6" customFormat="1" ht="15.95" customHeight="1" x14ac:dyDescent="0.15">
      <c r="A113" s="373"/>
      <c r="B113" s="373"/>
      <c r="C113" s="373"/>
      <c r="D113" s="373"/>
      <c r="E113" s="373"/>
      <c r="F113" s="373"/>
      <c r="G113" s="373"/>
      <c r="H113" s="373"/>
      <c r="I113" s="373"/>
      <c r="J113" s="373"/>
      <c r="K113" s="373"/>
      <c r="L113" s="373"/>
      <c r="M113" s="373"/>
      <c r="R113" s="592"/>
      <c r="S113" s="592"/>
      <c r="T113" s="592"/>
      <c r="U113" s="592"/>
      <c r="V113" s="592"/>
      <c r="W113" s="592"/>
      <c r="X113" s="592"/>
      <c r="Y113" s="592"/>
      <c r="Z113" s="592"/>
      <c r="AA113" s="592"/>
      <c r="AB113" s="592"/>
      <c r="AC113" s="592"/>
      <c r="AD113" s="592"/>
      <c r="AE113" s="592"/>
      <c r="AF113" s="592"/>
    </row>
    <row r="114" spans="1:32" s="6" customFormat="1" ht="15.95" customHeight="1" x14ac:dyDescent="0.15">
      <c r="A114" s="373"/>
      <c r="B114" s="373"/>
      <c r="C114" s="373"/>
      <c r="D114" s="373"/>
      <c r="E114" s="373"/>
      <c r="F114" s="373"/>
      <c r="G114" s="373"/>
      <c r="H114" s="373"/>
      <c r="I114" s="373"/>
      <c r="J114" s="373"/>
      <c r="K114" s="373"/>
      <c r="L114" s="373"/>
      <c r="M114" s="373"/>
      <c r="R114" s="592"/>
      <c r="S114" s="592"/>
      <c r="T114" s="592"/>
      <c r="U114" s="592"/>
      <c r="V114" s="592"/>
      <c r="W114" s="592"/>
      <c r="X114" s="592"/>
      <c r="Y114" s="592"/>
      <c r="Z114" s="592"/>
      <c r="AA114" s="592"/>
      <c r="AB114" s="592"/>
      <c r="AC114" s="592"/>
      <c r="AD114" s="592"/>
      <c r="AE114" s="592"/>
      <c r="AF114" s="592"/>
    </row>
    <row r="115" spans="1:32" s="6" customFormat="1" ht="15.95" customHeight="1" x14ac:dyDescent="0.15">
      <c r="A115" s="373"/>
      <c r="B115" s="373"/>
      <c r="C115" s="373"/>
      <c r="D115" s="373"/>
      <c r="E115" s="373"/>
      <c r="F115" s="373"/>
      <c r="G115" s="373"/>
      <c r="H115" s="373"/>
      <c r="I115" s="373"/>
      <c r="J115" s="373"/>
      <c r="K115" s="373"/>
      <c r="L115" s="373"/>
      <c r="M115" s="373"/>
      <c r="R115" s="592"/>
      <c r="S115" s="592"/>
      <c r="T115" s="592"/>
      <c r="U115" s="592"/>
      <c r="V115" s="592"/>
      <c r="W115" s="592"/>
      <c r="X115" s="592"/>
      <c r="Y115" s="592"/>
      <c r="Z115" s="592"/>
      <c r="AA115" s="592"/>
      <c r="AB115" s="592"/>
      <c r="AC115" s="592"/>
      <c r="AD115" s="592"/>
      <c r="AE115" s="592"/>
      <c r="AF115" s="592"/>
    </row>
    <row r="116" spans="1:32" s="6" customFormat="1" ht="15.95" customHeight="1" x14ac:dyDescent="0.15">
      <c r="A116" s="373"/>
      <c r="B116" s="373"/>
      <c r="C116" s="373"/>
      <c r="D116" s="373"/>
      <c r="E116" s="373"/>
      <c r="F116" s="373"/>
      <c r="G116" s="373"/>
      <c r="H116" s="373"/>
      <c r="I116" s="373"/>
      <c r="J116" s="373"/>
      <c r="K116" s="373"/>
      <c r="L116" s="373"/>
      <c r="M116" s="373"/>
      <c r="R116" s="592"/>
      <c r="S116" s="592"/>
      <c r="T116" s="592"/>
      <c r="U116" s="592"/>
      <c r="V116" s="592"/>
      <c r="W116" s="592"/>
      <c r="X116" s="592"/>
      <c r="Y116" s="592"/>
      <c r="Z116" s="592"/>
      <c r="AA116" s="592"/>
      <c r="AB116" s="592"/>
      <c r="AC116" s="592"/>
      <c r="AD116" s="592"/>
      <c r="AE116" s="592"/>
      <c r="AF116" s="592"/>
    </row>
    <row r="117" spans="1:32" s="6" customFormat="1" ht="15.95" customHeight="1" x14ac:dyDescent="0.15">
      <c r="A117" s="373"/>
      <c r="B117" s="373"/>
      <c r="C117" s="373"/>
      <c r="D117" s="373"/>
      <c r="E117" s="373"/>
      <c r="F117" s="373"/>
      <c r="G117" s="373"/>
      <c r="H117" s="373"/>
      <c r="I117" s="373"/>
      <c r="J117" s="373"/>
      <c r="K117" s="373"/>
      <c r="L117" s="373"/>
      <c r="M117" s="373"/>
      <c r="R117" s="592"/>
      <c r="S117" s="592"/>
      <c r="T117" s="592"/>
      <c r="U117" s="592"/>
      <c r="V117" s="592"/>
      <c r="W117" s="592"/>
      <c r="X117" s="592"/>
      <c r="Y117" s="592"/>
      <c r="Z117" s="592"/>
      <c r="AA117" s="592"/>
      <c r="AB117" s="592"/>
      <c r="AC117" s="592"/>
      <c r="AD117" s="592"/>
      <c r="AE117" s="592"/>
      <c r="AF117" s="592"/>
    </row>
    <row r="118" spans="1:32" s="6" customFormat="1" ht="15.95" customHeight="1" x14ac:dyDescent="0.15">
      <c r="A118" s="373"/>
      <c r="B118" s="373"/>
      <c r="C118" s="373"/>
      <c r="D118" s="373"/>
      <c r="E118" s="373"/>
      <c r="F118" s="373"/>
      <c r="G118" s="373"/>
      <c r="H118" s="373"/>
      <c r="I118" s="373"/>
      <c r="J118" s="373"/>
      <c r="K118" s="373"/>
      <c r="L118" s="373"/>
      <c r="M118" s="373"/>
      <c r="R118" s="592"/>
      <c r="S118" s="592"/>
      <c r="T118" s="592"/>
      <c r="U118" s="592"/>
      <c r="V118" s="592"/>
      <c r="W118" s="592"/>
      <c r="X118" s="592"/>
      <c r="Y118" s="592"/>
      <c r="Z118" s="592"/>
      <c r="AA118" s="592"/>
      <c r="AB118" s="592"/>
      <c r="AC118" s="592"/>
      <c r="AD118" s="592"/>
      <c r="AE118" s="592"/>
      <c r="AF118" s="592"/>
    </row>
    <row r="119" spans="1:32" s="6" customFormat="1" ht="15.95" customHeight="1" x14ac:dyDescent="0.15">
      <c r="A119" s="373"/>
      <c r="B119" s="373"/>
      <c r="C119" s="373"/>
      <c r="D119" s="373"/>
      <c r="E119" s="373"/>
      <c r="F119" s="373"/>
      <c r="G119" s="373"/>
      <c r="H119" s="373"/>
      <c r="I119" s="373"/>
      <c r="J119" s="373"/>
      <c r="K119" s="373"/>
      <c r="L119" s="373"/>
      <c r="M119" s="373"/>
      <c r="R119" s="592"/>
      <c r="S119" s="592"/>
      <c r="T119" s="592"/>
      <c r="U119" s="592"/>
      <c r="V119" s="592"/>
      <c r="W119" s="592"/>
      <c r="X119" s="592"/>
      <c r="Y119" s="592"/>
      <c r="Z119" s="592"/>
      <c r="AA119" s="592"/>
      <c r="AB119" s="592"/>
      <c r="AC119" s="592"/>
      <c r="AD119" s="592"/>
      <c r="AE119" s="592"/>
      <c r="AF119" s="592"/>
    </row>
    <row r="120" spans="1:32" s="6" customFormat="1" ht="15.95" customHeight="1" x14ac:dyDescent="0.15">
      <c r="A120" s="373"/>
      <c r="B120" s="373"/>
      <c r="C120" s="373"/>
      <c r="D120" s="373"/>
      <c r="E120" s="373"/>
      <c r="F120" s="373"/>
      <c r="G120" s="373"/>
      <c r="H120" s="373"/>
      <c r="I120" s="373"/>
      <c r="J120" s="373"/>
      <c r="K120" s="373"/>
      <c r="L120" s="373"/>
      <c r="M120" s="373"/>
      <c r="R120" s="592"/>
      <c r="S120" s="592"/>
      <c r="T120" s="592"/>
      <c r="U120" s="592"/>
      <c r="V120" s="592"/>
      <c r="W120" s="592"/>
      <c r="X120" s="592"/>
      <c r="Y120" s="592"/>
      <c r="Z120" s="592"/>
      <c r="AA120" s="592"/>
      <c r="AB120" s="592"/>
      <c r="AC120" s="592"/>
      <c r="AD120" s="592"/>
      <c r="AE120" s="592"/>
      <c r="AF120" s="592"/>
    </row>
    <row r="121" spans="1:32" s="6" customFormat="1" ht="15.95" customHeight="1" x14ac:dyDescent="0.15">
      <c r="A121" s="373"/>
      <c r="B121" s="373"/>
      <c r="C121" s="373"/>
      <c r="D121" s="373"/>
      <c r="E121" s="373"/>
      <c r="F121" s="373"/>
      <c r="G121" s="373"/>
      <c r="H121" s="373"/>
      <c r="I121" s="373"/>
      <c r="J121" s="373"/>
      <c r="K121" s="373"/>
      <c r="L121" s="373"/>
      <c r="M121" s="373"/>
      <c r="R121" s="592"/>
      <c r="S121" s="592"/>
      <c r="T121" s="592"/>
      <c r="U121" s="592"/>
      <c r="V121" s="592"/>
      <c r="W121" s="592"/>
      <c r="X121" s="592"/>
      <c r="Y121" s="592"/>
      <c r="Z121" s="592"/>
      <c r="AA121" s="592"/>
      <c r="AB121" s="592"/>
      <c r="AC121" s="592"/>
      <c r="AD121" s="592"/>
      <c r="AE121" s="592"/>
      <c r="AF121" s="592"/>
    </row>
    <row r="122" spans="1:32" s="6" customFormat="1" ht="15.95" customHeight="1" x14ac:dyDescent="0.15">
      <c r="A122" s="373"/>
      <c r="B122" s="373"/>
      <c r="C122" s="373"/>
      <c r="D122" s="373"/>
      <c r="E122" s="373"/>
      <c r="F122" s="373"/>
      <c r="G122" s="373"/>
      <c r="H122" s="373"/>
      <c r="I122" s="373"/>
      <c r="J122" s="373"/>
      <c r="K122" s="373"/>
      <c r="L122" s="373"/>
      <c r="M122" s="373"/>
      <c r="R122" s="592"/>
      <c r="S122" s="592"/>
      <c r="T122" s="592"/>
      <c r="U122" s="592"/>
      <c r="V122" s="592"/>
      <c r="W122" s="592"/>
      <c r="X122" s="592"/>
      <c r="Y122" s="592"/>
      <c r="Z122" s="592"/>
      <c r="AA122" s="592"/>
      <c r="AB122" s="592"/>
      <c r="AC122" s="592"/>
      <c r="AD122" s="592"/>
      <c r="AE122" s="592"/>
      <c r="AF122" s="592"/>
    </row>
    <row r="123" spans="1:32" s="6" customFormat="1" ht="15.95" customHeight="1" x14ac:dyDescent="0.15">
      <c r="A123" s="373"/>
      <c r="B123" s="373"/>
      <c r="C123" s="373"/>
      <c r="D123" s="373"/>
      <c r="E123" s="373"/>
      <c r="F123" s="373"/>
      <c r="G123" s="373"/>
      <c r="H123" s="373"/>
      <c r="I123" s="373"/>
      <c r="J123" s="373"/>
      <c r="K123" s="373"/>
      <c r="L123" s="373"/>
      <c r="M123" s="373"/>
      <c r="R123" s="592"/>
      <c r="S123" s="592"/>
      <c r="T123" s="592"/>
      <c r="U123" s="592"/>
      <c r="V123" s="592"/>
      <c r="W123" s="592"/>
      <c r="X123" s="592"/>
      <c r="Y123" s="592"/>
      <c r="Z123" s="592"/>
      <c r="AA123" s="592"/>
      <c r="AB123" s="592"/>
      <c r="AC123" s="592"/>
      <c r="AD123" s="592"/>
      <c r="AE123" s="592"/>
      <c r="AF123" s="592"/>
    </row>
    <row r="124" spans="1:32" s="6" customFormat="1" ht="15.95" customHeight="1" x14ac:dyDescent="0.15">
      <c r="A124" s="373"/>
      <c r="B124" s="373"/>
      <c r="C124" s="373"/>
      <c r="D124" s="373"/>
      <c r="E124" s="373"/>
      <c r="F124" s="373"/>
      <c r="G124" s="373"/>
      <c r="H124" s="373"/>
      <c r="I124" s="373"/>
      <c r="J124" s="373"/>
      <c r="K124" s="373"/>
      <c r="L124" s="373"/>
      <c r="M124" s="373"/>
      <c r="R124" s="592"/>
      <c r="S124" s="592"/>
      <c r="T124" s="592"/>
      <c r="U124" s="592"/>
      <c r="V124" s="592"/>
      <c r="W124" s="592"/>
      <c r="X124" s="592"/>
      <c r="Y124" s="592"/>
      <c r="Z124" s="592"/>
      <c r="AA124" s="592"/>
      <c r="AB124" s="592"/>
      <c r="AC124" s="592"/>
      <c r="AD124" s="592"/>
      <c r="AE124" s="592"/>
      <c r="AF124" s="592"/>
    </row>
    <row r="125" spans="1:32" s="6" customFormat="1" ht="15.95" customHeight="1" x14ac:dyDescent="0.15">
      <c r="A125" s="373"/>
      <c r="B125" s="373"/>
      <c r="C125" s="373"/>
      <c r="D125" s="373"/>
      <c r="E125" s="373"/>
      <c r="F125" s="373"/>
      <c r="G125" s="373"/>
      <c r="H125" s="373"/>
      <c r="I125" s="373"/>
      <c r="J125" s="373"/>
      <c r="K125" s="373"/>
      <c r="L125" s="373"/>
      <c r="M125" s="373"/>
      <c r="R125" s="592"/>
      <c r="S125" s="592"/>
      <c r="T125" s="592"/>
      <c r="U125" s="592"/>
      <c r="V125" s="592"/>
      <c r="W125" s="592"/>
      <c r="X125" s="592"/>
      <c r="Y125" s="592"/>
      <c r="Z125" s="592"/>
      <c r="AA125" s="592"/>
      <c r="AB125" s="592"/>
      <c r="AC125" s="592"/>
      <c r="AD125" s="592"/>
      <c r="AE125" s="592"/>
      <c r="AF125" s="592"/>
    </row>
    <row r="126" spans="1:32" s="6" customFormat="1" ht="15.95" customHeight="1" x14ac:dyDescent="0.15">
      <c r="A126" s="373"/>
      <c r="B126" s="373"/>
      <c r="C126" s="373"/>
      <c r="D126" s="373"/>
      <c r="E126" s="373"/>
      <c r="F126" s="373"/>
      <c r="G126" s="373"/>
      <c r="H126" s="373"/>
      <c r="I126" s="373"/>
      <c r="J126" s="373"/>
      <c r="K126" s="373"/>
      <c r="L126" s="373"/>
      <c r="M126" s="373"/>
    </row>
    <row r="127" spans="1:32" s="6" customFormat="1" ht="15.95" customHeight="1" x14ac:dyDescent="0.15">
      <c r="A127" s="373"/>
      <c r="B127" s="373"/>
      <c r="C127" s="373"/>
      <c r="D127" s="373"/>
      <c r="E127" s="373"/>
      <c r="F127" s="373"/>
      <c r="G127" s="373"/>
      <c r="H127" s="373"/>
      <c r="I127" s="373"/>
      <c r="J127" s="373"/>
      <c r="K127" s="373"/>
      <c r="L127" s="373"/>
      <c r="M127" s="373"/>
    </row>
    <row r="128" spans="1:32" s="6" customFormat="1" ht="15.95" customHeight="1" x14ac:dyDescent="0.15">
      <c r="A128" s="373"/>
      <c r="B128" s="373"/>
      <c r="C128" s="373"/>
      <c r="D128" s="373"/>
      <c r="E128" s="373"/>
      <c r="F128" s="373"/>
      <c r="G128" s="373"/>
      <c r="H128" s="373"/>
      <c r="I128" s="373"/>
      <c r="J128" s="373"/>
      <c r="K128" s="373"/>
      <c r="L128" s="373"/>
      <c r="M128" s="373"/>
    </row>
    <row r="129" spans="1:13" s="6" customFormat="1" ht="15.95" customHeight="1" x14ac:dyDescent="0.15">
      <c r="A129" s="373"/>
      <c r="B129" s="373"/>
      <c r="C129" s="373"/>
      <c r="D129" s="373"/>
      <c r="E129" s="373"/>
      <c r="F129" s="373"/>
      <c r="G129" s="373"/>
      <c r="H129" s="373"/>
      <c r="I129" s="373"/>
      <c r="J129" s="373"/>
      <c r="K129" s="373"/>
      <c r="L129" s="373"/>
      <c r="M129" s="373"/>
    </row>
    <row r="130" spans="1:13" s="6" customFormat="1" ht="15.95" customHeight="1" x14ac:dyDescent="0.15">
      <c r="A130" s="373"/>
      <c r="B130" s="626"/>
      <c r="C130" s="373"/>
      <c r="D130" s="373"/>
      <c r="E130" s="373"/>
      <c r="F130" s="373"/>
      <c r="G130" s="373"/>
      <c r="H130" s="373"/>
      <c r="I130" s="373"/>
      <c r="J130" s="373"/>
      <c r="K130" s="373"/>
      <c r="L130" s="373"/>
      <c r="M130" s="373"/>
    </row>
    <row r="131" spans="1:13" s="6" customFormat="1" ht="15.95" customHeight="1" x14ac:dyDescent="0.15">
      <c r="A131" s="373"/>
      <c r="B131" s="373"/>
      <c r="C131" s="373"/>
      <c r="D131" s="373"/>
      <c r="E131" s="373"/>
      <c r="F131" s="373"/>
      <c r="G131" s="373"/>
      <c r="H131" s="373"/>
      <c r="I131" s="373"/>
      <c r="J131" s="373"/>
      <c r="K131" s="373"/>
      <c r="L131" s="373"/>
      <c r="M131" s="373"/>
    </row>
    <row r="132" spans="1:13" s="6" customFormat="1" ht="15.95" customHeight="1" x14ac:dyDescent="0.15">
      <c r="A132" s="373"/>
      <c r="B132" s="373"/>
      <c r="C132" s="373"/>
      <c r="D132" s="373"/>
      <c r="E132" s="373"/>
      <c r="F132" s="373"/>
      <c r="G132" s="373"/>
      <c r="H132" s="373"/>
      <c r="I132" s="373"/>
      <c r="J132" s="373"/>
      <c r="K132" s="373"/>
      <c r="L132" s="373"/>
      <c r="M132" s="373"/>
    </row>
    <row r="133" spans="1:13" s="6" customFormat="1" ht="15.95" customHeight="1" x14ac:dyDescent="0.15">
      <c r="A133" s="373"/>
      <c r="B133" s="373"/>
      <c r="C133" s="373"/>
      <c r="D133" s="373"/>
      <c r="E133" s="373"/>
      <c r="F133" s="373"/>
      <c r="G133" s="373"/>
      <c r="H133" s="373"/>
      <c r="I133" s="373"/>
      <c r="J133" s="373"/>
      <c r="K133" s="373"/>
      <c r="L133" s="373"/>
      <c r="M133" s="373"/>
    </row>
    <row r="134" spans="1:13" s="6" customFormat="1" ht="15.95" customHeight="1" x14ac:dyDescent="0.15">
      <c r="A134" s="373"/>
      <c r="B134" s="373"/>
      <c r="C134" s="373"/>
      <c r="D134" s="373"/>
      <c r="E134" s="373"/>
      <c r="F134" s="373"/>
      <c r="G134" s="373"/>
      <c r="H134" s="373"/>
      <c r="I134" s="373"/>
      <c r="J134" s="373"/>
      <c r="K134" s="373"/>
      <c r="L134" s="373"/>
      <c r="M134" s="373"/>
    </row>
    <row r="135" spans="1:13" s="6" customFormat="1" ht="15.95" customHeight="1" x14ac:dyDescent="0.15">
      <c r="A135" s="373"/>
      <c r="B135" s="373"/>
      <c r="C135" s="373"/>
      <c r="D135" s="373"/>
      <c r="E135" s="373"/>
      <c r="F135" s="373"/>
      <c r="G135" s="373"/>
      <c r="H135" s="373"/>
      <c r="I135" s="373"/>
      <c r="J135" s="373"/>
      <c r="K135" s="373"/>
      <c r="L135" s="373"/>
      <c r="M135" s="373"/>
    </row>
    <row r="136" spans="1:13" s="6" customFormat="1" ht="15.95" customHeight="1" x14ac:dyDescent="0.15">
      <c r="A136" s="373"/>
      <c r="B136" s="373"/>
      <c r="C136" s="373"/>
      <c r="D136" s="373"/>
      <c r="E136" s="373"/>
      <c r="F136" s="373"/>
      <c r="G136" s="373"/>
      <c r="H136" s="373"/>
      <c r="I136" s="373"/>
      <c r="J136" s="373"/>
      <c r="K136" s="373"/>
      <c r="L136" s="373"/>
      <c r="M136" s="373"/>
    </row>
    <row r="137" spans="1:13" s="6" customFormat="1" ht="15.95" customHeight="1" x14ac:dyDescent="0.15">
      <c r="A137" s="373"/>
      <c r="B137" s="373"/>
      <c r="C137" s="373"/>
      <c r="D137" s="373"/>
      <c r="E137" s="373"/>
      <c r="F137" s="373"/>
      <c r="G137" s="373"/>
      <c r="H137" s="373"/>
      <c r="I137" s="373"/>
      <c r="J137" s="373"/>
      <c r="K137" s="373"/>
      <c r="L137" s="373"/>
      <c r="M137" s="373"/>
    </row>
    <row r="138" spans="1:13" s="6" customFormat="1" ht="15.95" customHeight="1" x14ac:dyDescent="0.15">
      <c r="A138" s="373"/>
      <c r="B138" s="373"/>
      <c r="C138" s="373"/>
      <c r="D138" s="373"/>
      <c r="E138" s="480"/>
      <c r="F138" s="373"/>
      <c r="G138" s="373"/>
      <c r="H138" s="373"/>
      <c r="I138" s="373"/>
      <c r="J138" s="373"/>
      <c r="K138" s="373"/>
      <c r="L138" s="373"/>
      <c r="M138" s="373"/>
    </row>
    <row r="139" spans="1:13" s="6" customFormat="1" ht="15.95" customHeight="1" x14ac:dyDescent="0.15">
      <c r="A139" s="373"/>
      <c r="B139" s="373"/>
      <c r="C139" s="373"/>
      <c r="D139" s="373"/>
      <c r="E139" s="480"/>
      <c r="F139" s="373"/>
      <c r="G139" s="373"/>
      <c r="H139" s="373"/>
      <c r="I139" s="373"/>
      <c r="J139" s="373"/>
      <c r="K139" s="373"/>
      <c r="L139" s="373"/>
      <c r="M139" s="373"/>
    </row>
    <row r="140" spans="1:13" s="6" customFormat="1" ht="15.95" customHeight="1" x14ac:dyDescent="0.15">
      <c r="A140" s="373"/>
      <c r="B140" s="373"/>
      <c r="C140" s="373"/>
      <c r="D140" s="373"/>
      <c r="E140" s="373"/>
      <c r="F140" s="373"/>
      <c r="G140" s="373"/>
      <c r="H140" s="373"/>
      <c r="I140" s="373"/>
      <c r="J140" s="373"/>
      <c r="K140" s="373"/>
      <c r="L140" s="373"/>
      <c r="M140" s="373"/>
    </row>
    <row r="141" spans="1:13" s="6" customFormat="1" ht="15.95" customHeight="1" x14ac:dyDescent="0.15">
      <c r="A141" s="373"/>
      <c r="B141" s="373"/>
      <c r="C141" s="373"/>
      <c r="D141" s="373"/>
      <c r="E141" s="373"/>
      <c r="F141" s="373"/>
      <c r="G141" s="373"/>
      <c r="H141" s="373"/>
      <c r="I141" s="373"/>
      <c r="J141" s="373"/>
      <c r="K141" s="373"/>
      <c r="L141" s="373"/>
      <c r="M141" s="373"/>
    </row>
    <row r="142" spans="1:13" s="6" customFormat="1" ht="15.95" customHeight="1" x14ac:dyDescent="0.15">
      <c r="A142" s="373"/>
      <c r="B142" s="373"/>
      <c r="C142" s="373"/>
      <c r="D142" s="373"/>
      <c r="E142" s="373"/>
      <c r="F142" s="373"/>
      <c r="G142" s="373"/>
      <c r="H142" s="373"/>
      <c r="I142" s="373"/>
      <c r="J142" s="373"/>
      <c r="K142" s="373"/>
      <c r="L142" s="373"/>
      <c r="M142" s="373"/>
    </row>
    <row r="143" spans="1:13" s="6" customFormat="1" ht="15.95" customHeight="1" x14ac:dyDescent="0.15">
      <c r="A143" s="373"/>
      <c r="B143" s="373"/>
      <c r="C143" s="373"/>
      <c r="D143" s="373"/>
      <c r="E143" s="373"/>
      <c r="F143" s="373"/>
      <c r="G143" s="373"/>
      <c r="H143" s="373"/>
      <c r="I143" s="373"/>
      <c r="J143" s="373"/>
      <c r="K143" s="373"/>
      <c r="L143" s="373"/>
      <c r="M143" s="373"/>
    </row>
    <row r="144" spans="1:13" s="6" customFormat="1" ht="15.95" customHeight="1" x14ac:dyDescent="0.15">
      <c r="A144" s="373"/>
      <c r="B144" s="373"/>
      <c r="C144" s="373"/>
      <c r="D144" s="373"/>
      <c r="E144" s="373"/>
      <c r="F144" s="373"/>
      <c r="G144" s="373"/>
      <c r="H144" s="373"/>
      <c r="I144" s="373"/>
      <c r="J144" s="373"/>
      <c r="K144" s="373"/>
      <c r="L144" s="373"/>
      <c r="M144" s="373"/>
    </row>
    <row r="145" spans="1:13" s="6" customFormat="1" ht="15.95" customHeight="1" x14ac:dyDescent="0.15">
      <c r="A145" s="373"/>
      <c r="B145" s="373"/>
      <c r="C145" s="373"/>
      <c r="D145" s="373"/>
      <c r="E145" s="373"/>
      <c r="F145" s="373"/>
      <c r="G145" s="373"/>
      <c r="H145" s="373"/>
      <c r="I145" s="373"/>
      <c r="J145" s="373"/>
      <c r="K145" s="373"/>
      <c r="L145" s="373"/>
      <c r="M145" s="373"/>
    </row>
    <row r="146" spans="1:13" s="6" customFormat="1" ht="15.95" customHeight="1" x14ac:dyDescent="0.15">
      <c r="A146" s="373"/>
      <c r="B146" s="373"/>
      <c r="C146" s="373"/>
      <c r="D146" s="373"/>
      <c r="E146" s="628"/>
      <c r="F146" s="373"/>
      <c r="G146" s="373"/>
      <c r="H146" s="373"/>
      <c r="I146" s="373"/>
      <c r="J146" s="373"/>
      <c r="K146" s="373"/>
      <c r="L146" s="373"/>
      <c r="M146" s="373"/>
    </row>
    <row r="147" spans="1:13" s="6" customFormat="1" ht="15.95" customHeight="1" x14ac:dyDescent="0.15">
      <c r="A147" s="373"/>
      <c r="B147" s="373"/>
      <c r="C147" s="373"/>
      <c r="D147" s="373"/>
      <c r="E147" s="373"/>
      <c r="F147" s="373"/>
      <c r="G147" s="373"/>
      <c r="H147" s="373"/>
      <c r="I147" s="373"/>
      <c r="J147" s="373"/>
      <c r="K147" s="373"/>
      <c r="L147" s="373"/>
      <c r="M147" s="373"/>
    </row>
    <row r="148" spans="1:13" s="6" customFormat="1" ht="15.95" customHeight="1" x14ac:dyDescent="0.15">
      <c r="A148" s="373"/>
      <c r="B148" s="373"/>
      <c r="C148" s="373"/>
      <c r="D148" s="373"/>
      <c r="E148" s="373"/>
      <c r="F148" s="373"/>
      <c r="G148" s="373"/>
      <c r="H148" s="373"/>
      <c r="I148" s="373"/>
      <c r="J148" s="373"/>
      <c r="K148" s="373"/>
      <c r="L148" s="373"/>
      <c r="M148" s="373"/>
    </row>
    <row r="149" spans="1:13" s="6" customFormat="1" ht="15.95" customHeight="1" x14ac:dyDescent="0.15">
      <c r="A149" s="373"/>
      <c r="B149" s="373"/>
      <c r="C149" s="373"/>
      <c r="D149" s="373"/>
      <c r="E149" s="373"/>
      <c r="F149" s="373"/>
      <c r="G149" s="373"/>
      <c r="H149" s="373"/>
      <c r="I149" s="373"/>
      <c r="J149" s="373"/>
      <c r="K149" s="373"/>
      <c r="L149" s="373"/>
      <c r="M149" s="373"/>
    </row>
    <row r="150" spans="1:13" s="6" customFormat="1" ht="15.95" customHeight="1" x14ac:dyDescent="0.15">
      <c r="A150" s="373"/>
      <c r="B150" s="373"/>
      <c r="C150" s="373"/>
      <c r="D150" s="373"/>
      <c r="E150" s="373"/>
      <c r="F150" s="373"/>
      <c r="G150" s="373"/>
      <c r="H150" s="373"/>
      <c r="I150" s="373"/>
      <c r="J150" s="373"/>
      <c r="K150" s="373"/>
      <c r="L150" s="373"/>
      <c r="M150" s="373"/>
    </row>
    <row r="151" spans="1:13" s="6" customFormat="1" ht="15.95" customHeight="1" x14ac:dyDescent="0.15">
      <c r="A151" s="373"/>
      <c r="B151" s="373"/>
      <c r="C151" s="373"/>
      <c r="D151" s="373"/>
      <c r="E151" s="373"/>
      <c r="F151" s="373"/>
      <c r="G151" s="373"/>
      <c r="H151" s="373"/>
      <c r="I151" s="373"/>
      <c r="J151" s="373"/>
      <c r="K151" s="373"/>
      <c r="L151" s="373"/>
      <c r="M151" s="373"/>
    </row>
    <row r="152" spans="1:13" s="6" customFormat="1" ht="15.95" customHeight="1" x14ac:dyDescent="0.15">
      <c r="A152" s="373"/>
      <c r="B152" s="373"/>
      <c r="C152" s="373"/>
      <c r="D152" s="373"/>
      <c r="E152" s="373"/>
      <c r="F152" s="373"/>
      <c r="G152" s="373"/>
      <c r="H152" s="373"/>
      <c r="I152" s="373"/>
      <c r="J152" s="373"/>
      <c r="K152" s="373"/>
      <c r="L152" s="373"/>
      <c r="M152" s="373"/>
    </row>
    <row r="153" spans="1:13" x14ac:dyDescent="0.15">
      <c r="J153" s="17"/>
      <c r="K153" s="17"/>
      <c r="L153" s="17"/>
      <c r="M153" s="17"/>
    </row>
    <row r="154" spans="1:13" x14ac:dyDescent="0.15">
      <c r="J154" s="17"/>
      <c r="K154" s="17"/>
      <c r="L154" s="17"/>
      <c r="M154" s="17"/>
    </row>
    <row r="155" spans="1:13" x14ac:dyDescent="0.15">
      <c r="J155" s="17"/>
      <c r="K155" s="17"/>
      <c r="L155" s="17"/>
      <c r="M155" s="17"/>
    </row>
    <row r="156" spans="1:13" x14ac:dyDescent="0.15">
      <c r="J156" s="17"/>
      <c r="K156" s="17"/>
      <c r="L156" s="17"/>
      <c r="M156" s="17"/>
    </row>
  </sheetData>
  <sheetProtection selectLockedCells="1"/>
  <mergeCells count="16">
    <mergeCell ref="J5:M5"/>
    <mergeCell ref="N9:P9"/>
    <mergeCell ref="C21:C22"/>
    <mergeCell ref="D21:D22"/>
    <mergeCell ref="E21:F21"/>
    <mergeCell ref="G21:G22"/>
    <mergeCell ref="H21:I21"/>
    <mergeCell ref="H43:L43"/>
    <mergeCell ref="R22:S22"/>
    <mergeCell ref="U22:V22"/>
    <mergeCell ref="C23:C24"/>
    <mergeCell ref="D23:D26"/>
    <mergeCell ref="E23:E26"/>
    <mergeCell ref="F23:F24"/>
    <mergeCell ref="C25:C26"/>
    <mergeCell ref="F25:F26"/>
  </mergeCells>
  <phoneticPr fontId="2" type="noConversion"/>
  <hyperlinks>
    <hyperlink ref="J5" r:id="rId1" xr:uid="{38F51EAD-5083-4D3D-9762-3AE1EEA71CC2}"/>
  </hyperlinks>
  <printOptions horizontalCentered="1"/>
  <pageMargins left="0.51181102362204722" right="0.51181102362204722" top="0.78740157480314965" bottom="0.59055118110236227" header="0.39370078740157483" footer="0.39370078740157483"/>
  <pageSetup paperSize="9" orientation="portrait" r:id="rId2"/>
  <headerFooter alignWithMargins="0"/>
  <drawing r:id="rId3"/>
  <legacyDrawing r:id="rId4"/>
  <oleObjects>
    <mc:AlternateContent xmlns:mc="http://schemas.openxmlformats.org/markup-compatibility/2006">
      <mc:Choice Requires="x14">
        <oleObject progId="AutoCAD.Drawing.19" shapeId="144385" r:id="rId5">
          <objectPr defaultSize="0" autoPict="0" r:id="rId6">
            <anchor moveWithCells="1">
              <from>
                <xdr:col>2</xdr:col>
                <xdr:colOff>0</xdr:colOff>
                <xdr:row>32</xdr:row>
                <xdr:rowOff>66675</xdr:rowOff>
              </from>
              <to>
                <xdr:col>6</xdr:col>
                <xdr:colOff>247650</xdr:colOff>
                <xdr:row>41</xdr:row>
                <xdr:rowOff>0</xdr:rowOff>
              </to>
            </anchor>
          </objectPr>
        </oleObject>
      </mc:Choice>
      <mc:Fallback>
        <oleObject progId="AutoCAD.Drawing.19" shapeId="144385" r:id="rId5"/>
      </mc:Fallback>
    </mc:AlternateContent>
  </oleObject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61E190-5648-480F-9933-5E040FD8D071}">
  <sheetPr codeName="Sheet20">
    <tabColor rgb="FF00B0F0"/>
  </sheetPr>
  <dimension ref="A1:AA275"/>
  <sheetViews>
    <sheetView view="pageBreakPreview" zoomScale="75" zoomScaleNormal="100" zoomScaleSheetLayoutView="75" workbookViewId="0">
      <selection activeCell="G6" sqref="G6"/>
    </sheetView>
  </sheetViews>
  <sheetFormatPr defaultRowHeight="15.95" customHeight="1" x14ac:dyDescent="0.15"/>
  <cols>
    <col min="1" max="1" width="2.77734375" style="24" customWidth="1"/>
    <col min="2" max="2" width="7.33203125" style="24" customWidth="1"/>
    <col min="3" max="3" width="5.33203125" style="24" customWidth="1"/>
    <col min="4" max="4" width="9.33203125" style="24" customWidth="1"/>
    <col min="5" max="5" width="5.33203125" style="24" customWidth="1"/>
    <col min="6" max="6" width="9.33203125" style="24" customWidth="1"/>
    <col min="7" max="8" width="7.33203125" style="24" customWidth="1"/>
    <col min="9" max="9" width="5.33203125" style="24" customWidth="1"/>
    <col min="10" max="10" width="9.33203125" style="24" customWidth="1"/>
    <col min="11" max="11" width="7.33203125" style="24" customWidth="1"/>
    <col min="12" max="12" width="2.77734375" style="24" customWidth="1"/>
    <col min="13" max="14" width="6.77734375" style="24" customWidth="1"/>
    <col min="15" max="15" width="8.77734375" style="24" customWidth="1"/>
    <col min="16" max="16" width="9.77734375" style="24" customWidth="1"/>
    <col min="17" max="17" width="6.77734375" style="24" customWidth="1"/>
    <col min="18" max="18" width="8.77734375" style="24" customWidth="1"/>
    <col min="19" max="20" width="6.77734375" style="24" customWidth="1"/>
    <col min="21" max="21" width="9.77734375" style="24" hidden="1" customWidth="1"/>
    <col min="22" max="22" width="0" style="38" hidden="1" customWidth="1"/>
    <col min="23" max="23" width="5.77734375" style="24" hidden="1" customWidth="1"/>
    <col min="24" max="24" width="5.77734375" style="38" hidden="1" customWidth="1"/>
    <col min="25" max="25" width="5.77734375" style="24" hidden="1" customWidth="1"/>
    <col min="26" max="26" width="5.77734375" style="38" hidden="1" customWidth="1"/>
    <col min="27" max="27" width="11.109375" style="24" hidden="1" customWidth="1"/>
    <col min="28" max="16384" width="8.88671875" style="24"/>
  </cols>
  <sheetData>
    <row r="1" spans="1:17" ht="15.95" customHeight="1" x14ac:dyDescent="0.15">
      <c r="A1" s="76" t="s">
        <v>188</v>
      </c>
    </row>
    <row r="3" spans="1:17" ht="15.95" customHeight="1" x14ac:dyDescent="0.15">
      <c r="B3" s="77" t="s">
        <v>58</v>
      </c>
    </row>
    <row r="5" spans="1:17" ht="15.95" customHeight="1" x14ac:dyDescent="0.15">
      <c r="B5" s="78" t="s">
        <v>994</v>
      </c>
      <c r="C5" s="20" t="s">
        <v>4</v>
      </c>
      <c r="D5" s="443">
        <f>지진하중!E37</f>
        <v>0.15317866666666669</v>
      </c>
      <c r="E5" s="43" t="s">
        <v>456</v>
      </c>
      <c r="H5" s="36" t="s">
        <v>997</v>
      </c>
      <c r="J5" s="49"/>
      <c r="Q5" s="12"/>
    </row>
    <row r="6" spans="1:17" ht="15.95" customHeight="1" x14ac:dyDescent="0.15">
      <c r="B6" s="78" t="s">
        <v>190</v>
      </c>
      <c r="C6" s="20" t="s">
        <v>4</v>
      </c>
      <c r="D6" s="172">
        <f>710100/100*9.80665</f>
        <v>69637.021649999995</v>
      </c>
      <c r="E6" s="43" t="s">
        <v>457</v>
      </c>
      <c r="F6" s="80" t="s">
        <v>191</v>
      </c>
      <c r="G6" s="561">
        <v>5</v>
      </c>
      <c r="H6" s="36" t="s">
        <v>203</v>
      </c>
      <c r="J6" s="43"/>
      <c r="Q6" s="26"/>
    </row>
    <row r="7" spans="1:17" ht="15.95" customHeight="1" x14ac:dyDescent="0.15">
      <c r="B7" s="78" t="s">
        <v>60</v>
      </c>
      <c r="C7" s="20" t="s">
        <v>4</v>
      </c>
      <c r="D7" s="560">
        <v>1200</v>
      </c>
      <c r="E7" s="43" t="s">
        <v>458</v>
      </c>
      <c r="H7" s="36" t="s">
        <v>70</v>
      </c>
    </row>
    <row r="8" spans="1:17" ht="15.95" customHeight="1" x14ac:dyDescent="0.15">
      <c r="B8" s="78" t="s">
        <v>61</v>
      </c>
      <c r="C8" s="20" t="s">
        <v>4</v>
      </c>
      <c r="D8" s="560">
        <v>1200</v>
      </c>
      <c r="E8" s="43" t="s">
        <v>458</v>
      </c>
      <c r="H8" s="36" t="s">
        <v>71</v>
      </c>
    </row>
    <row r="9" spans="1:17" ht="15.95" customHeight="1" x14ac:dyDescent="0.15">
      <c r="B9" s="80" t="s">
        <v>62</v>
      </c>
      <c r="C9" s="20" t="s">
        <v>4</v>
      </c>
      <c r="D9" s="560">
        <v>5000</v>
      </c>
      <c r="E9" s="43" t="s">
        <v>458</v>
      </c>
      <c r="H9" s="36" t="s">
        <v>395</v>
      </c>
      <c r="J9" s="43"/>
    </row>
    <row r="10" spans="1:17" ht="15.95" customHeight="1" x14ac:dyDescent="0.15">
      <c r="B10" s="80" t="s">
        <v>63</v>
      </c>
      <c r="C10" s="20" t="s">
        <v>4</v>
      </c>
      <c r="D10" s="560">
        <v>250</v>
      </c>
      <c r="E10" s="43" t="s">
        <v>458</v>
      </c>
      <c r="H10" s="36" t="s">
        <v>396</v>
      </c>
      <c r="J10" s="43"/>
    </row>
    <row r="11" spans="1:17" ht="15.95" customHeight="1" x14ac:dyDescent="0.15">
      <c r="B11" s="80" t="s">
        <v>64</v>
      </c>
      <c r="C11" s="20" t="s">
        <v>4</v>
      </c>
      <c r="D11" s="176">
        <f>D9-D10</f>
        <v>4750</v>
      </c>
      <c r="E11" s="43" t="s">
        <v>458</v>
      </c>
      <c r="H11" s="36" t="s">
        <v>397</v>
      </c>
    </row>
    <row r="12" spans="1:17" ht="15.95" customHeight="1" x14ac:dyDescent="0.15">
      <c r="B12" s="80" t="s">
        <v>394</v>
      </c>
      <c r="C12" s="20" t="s">
        <v>4</v>
      </c>
      <c r="D12" s="560">
        <v>2600</v>
      </c>
      <c r="E12" s="43" t="s">
        <v>458</v>
      </c>
      <c r="H12" s="36" t="s">
        <v>72</v>
      </c>
    </row>
    <row r="13" spans="1:17" ht="15.95" customHeight="1" x14ac:dyDescent="0.15">
      <c r="M13" s="165"/>
      <c r="N13" s="698"/>
      <c r="O13" s="698"/>
    </row>
    <row r="14" spans="1:17" ht="15.95" customHeight="1" x14ac:dyDescent="0.15">
      <c r="B14" s="36" t="s">
        <v>65</v>
      </c>
      <c r="C14" s="20" t="s">
        <v>4</v>
      </c>
      <c r="D14" s="172">
        <f>(J85-J177)</f>
        <v>324893.90198049421</v>
      </c>
      <c r="E14" s="43" t="s">
        <v>497</v>
      </c>
      <c r="F14" s="36"/>
      <c r="G14" s="80" t="s">
        <v>488</v>
      </c>
      <c r="H14" s="162" t="s">
        <v>66</v>
      </c>
      <c r="I14" s="20" t="s">
        <v>4</v>
      </c>
      <c r="J14" s="108">
        <f>D222</f>
        <v>0.19410289966200225</v>
      </c>
      <c r="K14" s="83" t="str">
        <f>IF(J14&lt;1,"O.K","N.G")</f>
        <v>O.K</v>
      </c>
      <c r="M14" s="165"/>
      <c r="N14" s="698"/>
      <c r="O14" s="698"/>
    </row>
    <row r="15" spans="1:17" ht="15.95" customHeight="1" x14ac:dyDescent="0.15">
      <c r="G15" s="80" t="s">
        <v>489</v>
      </c>
      <c r="H15" s="162" t="s">
        <v>66</v>
      </c>
      <c r="I15" s="20" t="s">
        <v>4</v>
      </c>
      <c r="J15" s="108">
        <f>D255</f>
        <v>9.9012425439772664E-2</v>
      </c>
      <c r="K15" s="83" t="str">
        <f>IF(J15&lt;1,"O.K","N.G")</f>
        <v>O.K</v>
      </c>
      <c r="O15" s="12"/>
      <c r="P15" s="172"/>
      <c r="Q15" s="43"/>
    </row>
    <row r="16" spans="1:17" ht="15.95" customHeight="1" x14ac:dyDescent="0.15">
      <c r="B16" s="36" t="s">
        <v>120</v>
      </c>
      <c r="C16" s="20" t="s">
        <v>4</v>
      </c>
      <c r="D16" s="79">
        <f>D91-D183+(D88+D180)/2</f>
        <v>7.8805965933345865</v>
      </c>
      <c r="E16" s="43" t="s">
        <v>458</v>
      </c>
      <c r="F16" s="36"/>
      <c r="O16" s="12"/>
      <c r="P16" s="334"/>
      <c r="Q16" s="12"/>
    </row>
    <row r="17" spans="2:26" ht="15.95" customHeight="1" x14ac:dyDescent="0.15">
      <c r="B17" s="36" t="s">
        <v>484</v>
      </c>
      <c r="C17" s="20" t="s">
        <v>4</v>
      </c>
      <c r="D17" s="79">
        <f>D269</f>
        <v>27.18333333333333</v>
      </c>
      <c r="E17" s="43" t="s">
        <v>458</v>
      </c>
      <c r="H17" s="80" t="s">
        <v>68</v>
      </c>
      <c r="I17" s="20" t="s">
        <v>4</v>
      </c>
      <c r="J17" s="108">
        <f>D274</f>
        <v>0.28990545407729934</v>
      </c>
      <c r="K17" s="83" t="str">
        <f>IF(J17&lt;1,"O.K","N.G")</f>
        <v>O.K</v>
      </c>
      <c r="O17" s="12"/>
      <c r="P17" s="332"/>
      <c r="Q17" s="43"/>
    </row>
    <row r="18" spans="2:26" ht="15.95" customHeight="1" x14ac:dyDescent="0.15">
      <c r="B18" s="78"/>
      <c r="C18" s="82"/>
      <c r="D18" s="20"/>
      <c r="O18" s="12"/>
      <c r="P18" s="334"/>
      <c r="Q18" s="12"/>
    </row>
    <row r="19" spans="2:26" ht="15.95" customHeight="1" x14ac:dyDescent="0.15">
      <c r="B19" s="77" t="s">
        <v>78</v>
      </c>
      <c r="E19" s="49"/>
      <c r="H19" s="77" t="s">
        <v>485</v>
      </c>
      <c r="J19" s="559">
        <v>1</v>
      </c>
    </row>
    <row r="20" spans="2:26" ht="15.95" customHeight="1" thickBot="1" x14ac:dyDescent="0.2">
      <c r="K20" s="81"/>
      <c r="L20" s="81"/>
      <c r="Q20" s="20"/>
    </row>
    <row r="21" spans="2:26" ht="15.95" customHeight="1" thickBot="1" x14ac:dyDescent="0.2">
      <c r="B21" s="138"/>
      <c r="C21" s="139"/>
      <c r="D21" s="139"/>
      <c r="E21" s="139"/>
      <c r="F21" s="139"/>
      <c r="G21" s="139"/>
      <c r="H21" s="139"/>
      <c r="I21" s="139"/>
      <c r="J21" s="139"/>
      <c r="K21" s="140"/>
      <c r="M21" s="81"/>
    </row>
    <row r="22" spans="2:26" ht="15.95" customHeight="1" thickBot="1" x14ac:dyDescent="0.2">
      <c r="B22" s="91"/>
      <c r="K22" s="110"/>
      <c r="N22" s="138" t="s">
        <v>287</v>
      </c>
      <c r="O22" s="139"/>
      <c r="P22" s="139"/>
      <c r="Q22" s="138" t="s">
        <v>288</v>
      </c>
      <c r="R22" s="139"/>
      <c r="S22" s="140"/>
      <c r="U22" s="80" t="s">
        <v>155</v>
      </c>
      <c r="V22" s="24">
        <f>V36*X36</f>
        <v>60</v>
      </c>
      <c r="W22" s="80" t="s">
        <v>156</v>
      </c>
      <c r="X22" s="24">
        <f>X36/2</f>
        <v>15</v>
      </c>
      <c r="Y22" s="80" t="s">
        <v>157</v>
      </c>
      <c r="Z22" s="24">
        <f>V35+X34/2</f>
        <v>30</v>
      </c>
    </row>
    <row r="23" spans="2:26" ht="15.95" customHeight="1" x14ac:dyDescent="0.15">
      <c r="B23" s="91"/>
      <c r="K23" s="110"/>
      <c r="N23" s="84" t="s">
        <v>46</v>
      </c>
      <c r="O23" s="564">
        <v>60</v>
      </c>
      <c r="P23" s="154" t="s">
        <v>468</v>
      </c>
      <c r="Q23" s="84" t="s">
        <v>46</v>
      </c>
      <c r="R23" s="564">
        <v>60</v>
      </c>
      <c r="S23" s="85" t="s">
        <v>468</v>
      </c>
      <c r="U23" s="80" t="s">
        <v>158</v>
      </c>
      <c r="V23" s="24">
        <f>X34*V34</f>
        <v>112</v>
      </c>
      <c r="W23" s="80" t="s">
        <v>159</v>
      </c>
      <c r="X23" s="24">
        <f>X36+V34/2</f>
        <v>31</v>
      </c>
      <c r="Y23" s="80" t="s">
        <v>160</v>
      </c>
      <c r="Z23" s="24">
        <f>V35+X34/2</f>
        <v>30</v>
      </c>
    </row>
    <row r="24" spans="2:26" ht="15.95" customHeight="1" x14ac:dyDescent="0.15">
      <c r="B24" s="91"/>
      <c r="K24" s="110"/>
      <c r="N24" s="71" t="s">
        <v>199</v>
      </c>
      <c r="O24" s="565">
        <v>120</v>
      </c>
      <c r="P24" s="43" t="s">
        <v>468</v>
      </c>
      <c r="Q24" s="71" t="s">
        <v>199</v>
      </c>
      <c r="R24" s="565">
        <v>120</v>
      </c>
      <c r="S24" s="86" t="s">
        <v>468</v>
      </c>
      <c r="U24" s="80" t="s">
        <v>161</v>
      </c>
      <c r="V24" s="24">
        <f>X34*V34</f>
        <v>112</v>
      </c>
      <c r="W24" s="80" t="s">
        <v>162</v>
      </c>
      <c r="X24" s="24">
        <f>X36+(X35-V34)+V34/2</f>
        <v>149</v>
      </c>
      <c r="Y24" s="80" t="s">
        <v>163</v>
      </c>
      <c r="Z24" s="24">
        <f>V35+X34/2</f>
        <v>30</v>
      </c>
    </row>
    <row r="25" spans="2:26" ht="15.95" customHeight="1" x14ac:dyDescent="0.15">
      <c r="B25" s="91"/>
      <c r="K25" s="110"/>
      <c r="N25" s="71" t="s">
        <v>204</v>
      </c>
      <c r="O25" s="565">
        <v>30</v>
      </c>
      <c r="P25" s="43" t="s">
        <v>468</v>
      </c>
      <c r="Q25" s="91"/>
      <c r="R25" s="566"/>
      <c r="S25" s="110"/>
      <c r="U25" s="80" t="s">
        <v>164</v>
      </c>
      <c r="V25" s="24">
        <f>X35*V35</f>
        <v>240</v>
      </c>
      <c r="W25" s="80" t="s">
        <v>165</v>
      </c>
      <c r="X25" s="24">
        <f>X36+X35/2</f>
        <v>90</v>
      </c>
      <c r="Y25" s="80" t="s">
        <v>166</v>
      </c>
      <c r="Z25" s="24">
        <f>V35/2</f>
        <v>1</v>
      </c>
    </row>
    <row r="26" spans="2:26" ht="15.95" customHeight="1" x14ac:dyDescent="0.15">
      <c r="B26" s="91"/>
      <c r="K26" s="110"/>
      <c r="N26" s="71" t="s">
        <v>74</v>
      </c>
      <c r="O26" s="565">
        <v>2</v>
      </c>
      <c r="P26" s="43" t="s">
        <v>468</v>
      </c>
      <c r="Q26" s="71" t="s">
        <v>74</v>
      </c>
      <c r="R26" s="565">
        <v>2</v>
      </c>
      <c r="S26" s="86" t="s">
        <v>468</v>
      </c>
      <c r="U26" s="80" t="s">
        <v>167</v>
      </c>
      <c r="V26" s="24">
        <f>X35*V35</f>
        <v>240</v>
      </c>
      <c r="W26" s="80" t="s">
        <v>168</v>
      </c>
      <c r="X26" s="24">
        <f>X36+X35/2</f>
        <v>90</v>
      </c>
      <c r="Y26" s="80" t="s">
        <v>169</v>
      </c>
      <c r="Z26" s="24">
        <f>V35+X34+V35/2</f>
        <v>59</v>
      </c>
    </row>
    <row r="27" spans="2:26" ht="15.95" customHeight="1" x14ac:dyDescent="0.15">
      <c r="B27" s="91"/>
      <c r="K27" s="110"/>
      <c r="N27" s="71" t="s">
        <v>466</v>
      </c>
      <c r="O27" s="565">
        <v>2</v>
      </c>
      <c r="P27" s="43" t="s">
        <v>468</v>
      </c>
      <c r="Q27" s="71" t="s">
        <v>75</v>
      </c>
      <c r="R27" s="567">
        <v>2</v>
      </c>
      <c r="S27" s="86" t="s">
        <v>468</v>
      </c>
      <c r="U27" s="80"/>
      <c r="V27" s="24"/>
      <c r="W27" s="80"/>
      <c r="X27" s="24"/>
      <c r="Y27" s="80"/>
      <c r="Z27" s="24"/>
    </row>
    <row r="28" spans="2:26" ht="15.95" customHeight="1" thickBot="1" x14ac:dyDescent="0.2">
      <c r="B28" s="91"/>
      <c r="K28" s="110"/>
      <c r="N28" s="71" t="s">
        <v>192</v>
      </c>
      <c r="O28" s="565">
        <v>2</v>
      </c>
      <c r="P28" s="43" t="s">
        <v>468</v>
      </c>
      <c r="Q28" s="91"/>
      <c r="R28" s="566"/>
      <c r="S28" s="110"/>
      <c r="U28" s="80" t="s">
        <v>170</v>
      </c>
      <c r="V28" s="24">
        <f>X22-Z30</f>
        <v>-69.109947643979055</v>
      </c>
      <c r="W28" s="80" t="s">
        <v>171</v>
      </c>
      <c r="X28" s="24">
        <f>Z22-Z31</f>
        <v>0</v>
      </c>
      <c r="Y28" s="80" t="s">
        <v>172</v>
      </c>
      <c r="Z28" s="24">
        <f>V22*X22+V23*X23+V24*X24+V25*X25+V26*X26</f>
        <v>64260</v>
      </c>
    </row>
    <row r="29" spans="2:26" ht="15.95" customHeight="1" x14ac:dyDescent="0.15">
      <c r="B29" s="91"/>
      <c r="K29" s="110"/>
      <c r="N29" s="84" t="s">
        <v>196</v>
      </c>
      <c r="O29" s="151">
        <f>O24+O25</f>
        <v>150</v>
      </c>
      <c r="P29" s="85" t="s">
        <v>458</v>
      </c>
      <c r="Q29" s="91"/>
      <c r="R29" s="566"/>
      <c r="S29" s="110"/>
      <c r="U29" s="80" t="s">
        <v>174</v>
      </c>
      <c r="V29" s="24">
        <f>X23-Z30</f>
        <v>-53.109947643979055</v>
      </c>
      <c r="W29" s="80" t="s">
        <v>175</v>
      </c>
      <c r="X29" s="24">
        <f>Z23-Z31</f>
        <v>0</v>
      </c>
      <c r="Y29" s="80" t="s">
        <v>176</v>
      </c>
      <c r="Z29" s="24">
        <f>V22*Z22+V23*Z23+V24*Z24+V25*Z25+V26*Z26</f>
        <v>22920</v>
      </c>
    </row>
    <row r="30" spans="2:26" ht="15.95" customHeight="1" x14ac:dyDescent="0.15">
      <c r="B30" s="91"/>
      <c r="K30" s="110"/>
      <c r="N30" s="71" t="s">
        <v>77</v>
      </c>
      <c r="O30" s="23">
        <f>O23-2*O27</f>
        <v>56</v>
      </c>
      <c r="P30" s="43" t="s">
        <v>458</v>
      </c>
      <c r="Q30" s="91"/>
      <c r="R30" s="566"/>
      <c r="S30" s="110"/>
      <c r="U30" s="80" t="s">
        <v>177</v>
      </c>
      <c r="V30" s="24">
        <f>X24-Z30</f>
        <v>64.890052356020945</v>
      </c>
      <c r="W30" s="80" t="s">
        <v>178</v>
      </c>
      <c r="X30" s="24">
        <f>Z24-Z31</f>
        <v>0</v>
      </c>
      <c r="Y30" s="80" t="s">
        <v>179</v>
      </c>
      <c r="Z30" s="24">
        <f>Z28/(V22+V23+V24+V25+V26)</f>
        <v>84.109947643979055</v>
      </c>
    </row>
    <row r="31" spans="2:26" ht="15.95" customHeight="1" x14ac:dyDescent="0.15">
      <c r="B31" s="91"/>
      <c r="K31" s="110"/>
      <c r="N31" s="71" t="s">
        <v>193</v>
      </c>
      <c r="O31" s="23">
        <f>Z32</f>
        <v>1671313.4310645724</v>
      </c>
      <c r="P31" s="43" t="s">
        <v>469</v>
      </c>
      <c r="Q31" s="71" t="s">
        <v>193</v>
      </c>
      <c r="R31" s="565">
        <v>3779510</v>
      </c>
      <c r="S31" s="86" t="s">
        <v>469</v>
      </c>
      <c r="U31" s="80" t="s">
        <v>180</v>
      </c>
      <c r="V31" s="24">
        <f>X25-Z30</f>
        <v>5.890052356020945</v>
      </c>
      <c r="W31" s="80" t="s">
        <v>181</v>
      </c>
      <c r="X31" s="24">
        <f>Z25-Z31</f>
        <v>-29</v>
      </c>
      <c r="Y31" s="80" t="s">
        <v>182</v>
      </c>
      <c r="Z31" s="24">
        <f>Z29/(V22+V23+V24+V25+V26)</f>
        <v>30</v>
      </c>
    </row>
    <row r="32" spans="2:26" ht="15.95" customHeight="1" x14ac:dyDescent="0.15">
      <c r="B32" s="91"/>
      <c r="K32" s="110"/>
      <c r="N32" s="71" t="s">
        <v>194</v>
      </c>
      <c r="O32" s="23">
        <f>Z33</f>
        <v>462398.66666666663</v>
      </c>
      <c r="P32" s="43" t="s">
        <v>469</v>
      </c>
      <c r="Q32" s="71" t="s">
        <v>194</v>
      </c>
      <c r="R32" s="565">
        <v>652452</v>
      </c>
      <c r="S32" s="86" t="s">
        <v>469</v>
      </c>
      <c r="U32" s="80" t="s">
        <v>183</v>
      </c>
      <c r="V32" s="24">
        <f>X26-Z30</f>
        <v>5.890052356020945</v>
      </c>
      <c r="W32" s="80" t="s">
        <v>184</v>
      </c>
      <c r="X32" s="24">
        <f>Z26-Z31</f>
        <v>29</v>
      </c>
      <c r="Y32" s="80" t="s">
        <v>185</v>
      </c>
      <c r="Z32" s="24">
        <f>((V36*X36*X36*X36)/12+V22*V28*V28)+((X34*V34*V34*V34)/12+V23*V29*V29)+((X34*V34*V34*V34)/12+V24*V30*V30)+((V35*X35*X35*X35)/12+V25*V31*V31)+((V35*X35*X35*X35)/12+V26*V32*V32)</f>
        <v>1671313.4310645724</v>
      </c>
    </row>
    <row r="33" spans="2:26" ht="15.95" customHeight="1" x14ac:dyDescent="0.15">
      <c r="B33" s="71" t="s">
        <v>196</v>
      </c>
      <c r="C33" s="20" t="s">
        <v>4</v>
      </c>
      <c r="D33" s="155">
        <f>IF($J$19=1, O29,Q20)</f>
        <v>150</v>
      </c>
      <c r="E33" s="43" t="s">
        <v>468</v>
      </c>
      <c r="F33" s="568">
        <v>100</v>
      </c>
      <c r="G33" s="364" t="s">
        <v>468</v>
      </c>
      <c r="K33" s="110"/>
      <c r="N33" s="71" t="s">
        <v>890</v>
      </c>
      <c r="O33" s="23">
        <f>Z31</f>
        <v>30</v>
      </c>
      <c r="P33" s="43" t="s">
        <v>458</v>
      </c>
      <c r="Q33" s="71" t="s">
        <v>890</v>
      </c>
      <c r="R33" s="565">
        <v>30</v>
      </c>
      <c r="S33" s="86" t="s">
        <v>468</v>
      </c>
      <c r="U33" s="38"/>
      <c r="V33" s="24"/>
      <c r="W33" s="38"/>
      <c r="X33" s="24"/>
      <c r="Y33" s="80" t="s">
        <v>186</v>
      </c>
      <c r="Z33" s="24">
        <f>((X36*V36*V36*V36)/12+V22*X28*X28)+((V34*X34*X34*X34)/12+V23*X29*X29)+((V34*X34*X34*X34)/12+V24*X30*X30)+((X35*V35*V35*V35)/12+V25*X31*X31)+((X35*V35*V35*V35)/12+V26*X32*X32)</f>
        <v>462398.66666666663</v>
      </c>
    </row>
    <row r="34" spans="2:26" ht="15.95" customHeight="1" x14ac:dyDescent="0.15">
      <c r="B34" s="71" t="s">
        <v>46</v>
      </c>
      <c r="C34" s="20" t="s">
        <v>4</v>
      </c>
      <c r="D34" s="155">
        <f>IF($J$19=1, O23,Q20)</f>
        <v>60</v>
      </c>
      <c r="E34" s="43" t="s">
        <v>468</v>
      </c>
      <c r="F34" s="568">
        <v>50</v>
      </c>
      <c r="G34" s="364" t="s">
        <v>468</v>
      </c>
      <c r="K34" s="110"/>
      <c r="N34" s="71" t="s">
        <v>891</v>
      </c>
      <c r="O34" s="23">
        <f>Z30</f>
        <v>84.109947643979055</v>
      </c>
      <c r="P34" s="43" t="s">
        <v>458</v>
      </c>
      <c r="Q34" s="71" t="s">
        <v>891</v>
      </c>
      <c r="R34" s="565">
        <v>95.14</v>
      </c>
      <c r="S34" s="86" t="s">
        <v>468</v>
      </c>
      <c r="U34" s="80" t="s">
        <v>462</v>
      </c>
      <c r="V34" s="24">
        <f>O26</f>
        <v>2</v>
      </c>
      <c r="W34" s="80" t="s">
        <v>77</v>
      </c>
      <c r="X34" s="24">
        <f>O30</f>
        <v>56</v>
      </c>
      <c r="Y34" s="38"/>
      <c r="Z34" s="24"/>
    </row>
    <row r="35" spans="2:26" ht="15.95" customHeight="1" x14ac:dyDescent="0.15">
      <c r="B35" s="71" t="s">
        <v>199</v>
      </c>
      <c r="C35" s="20" t="s">
        <v>4</v>
      </c>
      <c r="D35" s="155">
        <f>IF($J$19=1, O24,Q20)</f>
        <v>120</v>
      </c>
      <c r="E35" s="43" t="s">
        <v>468</v>
      </c>
      <c r="F35" s="160" t="s">
        <v>51</v>
      </c>
      <c r="G35" s="364" t="s">
        <v>468</v>
      </c>
      <c r="K35" s="110"/>
      <c r="N35" s="71" t="s">
        <v>996</v>
      </c>
      <c r="O35" s="23">
        <f>O32/O33</f>
        <v>15413.288888888888</v>
      </c>
      <c r="P35" s="43" t="s">
        <v>470</v>
      </c>
      <c r="Q35" s="71" t="s">
        <v>996</v>
      </c>
      <c r="R35" s="565">
        <f>R32/R33</f>
        <v>21748.400000000001</v>
      </c>
      <c r="S35" s="86" t="s">
        <v>470</v>
      </c>
      <c r="U35" s="80" t="s">
        <v>461</v>
      </c>
      <c r="V35" s="24">
        <f>O27</f>
        <v>2</v>
      </c>
      <c r="W35" s="80" t="s">
        <v>463</v>
      </c>
      <c r="X35" s="24">
        <f>O24</f>
        <v>120</v>
      </c>
      <c r="Y35" s="38"/>
      <c r="Z35" s="24"/>
    </row>
    <row r="36" spans="2:26" ht="15.95" customHeight="1" thickBot="1" x14ac:dyDescent="0.2">
      <c r="B36" s="71" t="s">
        <v>518</v>
      </c>
      <c r="C36" s="20" t="s">
        <v>4</v>
      </c>
      <c r="D36" s="155">
        <f>IF($J$19=1, O25,Q20)</f>
        <v>30</v>
      </c>
      <c r="E36" s="43" t="s">
        <v>468</v>
      </c>
      <c r="F36" s="160" t="s">
        <v>51</v>
      </c>
      <c r="G36" s="364" t="s">
        <v>468</v>
      </c>
      <c r="H36" s="50"/>
      <c r="K36" s="110"/>
      <c r="N36" s="87" t="s">
        <v>349</v>
      </c>
      <c r="O36" s="152">
        <f>(2*O27*O26*(O23-O27)^2*(O24-O26)^2)/((O23*O27)+(O24*O26)-O27^2-O26^2)</f>
        <v>1064553.0909090908</v>
      </c>
      <c r="P36" s="153" t="s">
        <v>470</v>
      </c>
      <c r="Q36" s="87" t="s">
        <v>304</v>
      </c>
      <c r="R36" s="152">
        <f>(2*R27*R26*(R23-R27)^2*(R24-R26)^2)/((R23*R27)+(R24*R26)-R27^2-R26^2)</f>
        <v>1064553.0909090908</v>
      </c>
      <c r="S36" s="88" t="s">
        <v>471</v>
      </c>
      <c r="U36" s="80" t="s">
        <v>467</v>
      </c>
      <c r="V36" s="24">
        <f>O28</f>
        <v>2</v>
      </c>
      <c r="W36" s="80" t="s">
        <v>464</v>
      </c>
      <c r="X36" s="24">
        <f>O25</f>
        <v>30</v>
      </c>
      <c r="Y36" s="38"/>
      <c r="Z36" s="24"/>
    </row>
    <row r="37" spans="2:26" ht="15.95" customHeight="1" x14ac:dyDescent="0.15">
      <c r="B37" s="71" t="s">
        <v>74</v>
      </c>
      <c r="C37" s="20" t="s">
        <v>4</v>
      </c>
      <c r="D37" s="155">
        <f>IF($J$19=1, O26,Q20)</f>
        <v>2</v>
      </c>
      <c r="E37" s="43" t="s">
        <v>468</v>
      </c>
      <c r="F37" s="568">
        <v>2</v>
      </c>
      <c r="G37" s="364" t="s">
        <v>468</v>
      </c>
      <c r="H37" s="50"/>
      <c r="K37" s="110"/>
      <c r="U37" s="38"/>
      <c r="V37" s="24"/>
      <c r="W37" s="38"/>
      <c r="X37" s="24"/>
      <c r="Y37" s="38"/>
      <c r="Z37" s="24"/>
    </row>
    <row r="38" spans="2:26" ht="15.95" customHeight="1" x14ac:dyDescent="0.15">
      <c r="B38" s="71" t="s">
        <v>466</v>
      </c>
      <c r="C38" s="20" t="s">
        <v>4</v>
      </c>
      <c r="D38" s="155">
        <f>IF($J$19=1, O27,Q20)</f>
        <v>2</v>
      </c>
      <c r="E38" s="43" t="s">
        <v>468</v>
      </c>
      <c r="F38" s="161">
        <f>F37</f>
        <v>2</v>
      </c>
      <c r="G38" s="364" t="s">
        <v>468</v>
      </c>
      <c r="K38" s="110"/>
      <c r="L38" s="81"/>
      <c r="N38" s="24" t="s">
        <v>205</v>
      </c>
    </row>
    <row r="39" spans="2:26" ht="15.95" customHeight="1" thickBot="1" x14ac:dyDescent="0.2">
      <c r="B39" s="71" t="s">
        <v>192</v>
      </c>
      <c r="C39" s="20" t="s">
        <v>4</v>
      </c>
      <c r="D39" s="155">
        <f>IF($J$19=1, O28,Q20)</f>
        <v>2</v>
      </c>
      <c r="E39" s="43" t="s">
        <v>468</v>
      </c>
      <c r="F39" s="160" t="s">
        <v>51</v>
      </c>
      <c r="G39" s="364" t="s">
        <v>468</v>
      </c>
      <c r="K39" s="86"/>
      <c r="L39" s="81"/>
      <c r="M39" s="81"/>
      <c r="N39" s="24" t="s">
        <v>460</v>
      </c>
      <c r="S39" s="69"/>
      <c r="T39" s="70"/>
    </row>
    <row r="40" spans="2:26" ht="15.95" customHeight="1" x14ac:dyDescent="0.15">
      <c r="B40" s="71" t="s">
        <v>361</v>
      </c>
      <c r="C40" s="20" t="s">
        <v>4</v>
      </c>
      <c r="D40" s="167">
        <f t="shared" ref="D40:D45" si="0">O40</f>
        <v>1671313.4310645724</v>
      </c>
      <c r="E40" s="43" t="s">
        <v>469</v>
      </c>
      <c r="F40" s="169">
        <f>(F34*F33^3-(F34-2*F37)*(F33-2*F38)^3)/12</f>
        <v>775178.66666666663</v>
      </c>
      <c r="G40" s="364" t="s">
        <v>469</v>
      </c>
      <c r="H40" s="336" t="s">
        <v>486</v>
      </c>
      <c r="I40" s="20" t="s">
        <v>4</v>
      </c>
      <c r="J40" s="167">
        <f>D40+F40*3</f>
        <v>3996849.4310645722</v>
      </c>
      <c r="K40" s="86" t="s">
        <v>469</v>
      </c>
      <c r="L40" s="81"/>
      <c r="M40" s="81"/>
      <c r="N40" s="84" t="s">
        <v>193</v>
      </c>
      <c r="O40" s="151">
        <f t="shared" ref="O40:O45" si="1">IF($J$19=1, O31,R31)</f>
        <v>1671313.4310645724</v>
      </c>
      <c r="P40" s="85" t="s">
        <v>469</v>
      </c>
      <c r="Q40" s="72" t="s">
        <v>350</v>
      </c>
      <c r="R40" s="151">
        <f>IF($J$19=1, O30,R23-R27*2)</f>
        <v>56</v>
      </c>
      <c r="S40" s="85" t="s">
        <v>468</v>
      </c>
      <c r="T40" s="44"/>
      <c r="U40" s="44"/>
    </row>
    <row r="41" spans="2:26" ht="15.95" customHeight="1" x14ac:dyDescent="0.15">
      <c r="B41" s="71" t="s">
        <v>362</v>
      </c>
      <c r="C41" s="20" t="s">
        <v>4</v>
      </c>
      <c r="D41" s="167">
        <f t="shared" si="0"/>
        <v>462398.66666666663</v>
      </c>
      <c r="E41" s="43" t="s">
        <v>469</v>
      </c>
      <c r="F41" s="169">
        <f>(F33*F34^3-(F33-2*F38)*(F34-2*F37)^3)/12</f>
        <v>262978.66666666669</v>
      </c>
      <c r="G41" s="364" t="s">
        <v>469</v>
      </c>
      <c r="H41" s="336" t="s">
        <v>487</v>
      </c>
      <c r="I41" s="20" t="s">
        <v>4</v>
      </c>
      <c r="J41" s="167">
        <f>D41+F41*3</f>
        <v>1251334.6666666665</v>
      </c>
      <c r="K41" s="86" t="s">
        <v>469</v>
      </c>
      <c r="L41" s="81"/>
      <c r="M41" s="81"/>
      <c r="N41" s="71" t="s">
        <v>194</v>
      </c>
      <c r="O41" s="23">
        <f t="shared" si="1"/>
        <v>462398.66666666663</v>
      </c>
      <c r="P41" s="43" t="s">
        <v>469</v>
      </c>
      <c r="Q41" s="73" t="s">
        <v>351</v>
      </c>
      <c r="R41" s="23">
        <f>IF($J$19=1, O24-2*O26,R24-R26*2)</f>
        <v>116</v>
      </c>
      <c r="S41" s="86" t="s">
        <v>468</v>
      </c>
      <c r="U41" s="44"/>
    </row>
    <row r="42" spans="2:26" ht="15.95" customHeight="1" x14ac:dyDescent="0.15">
      <c r="B42" s="71" t="s">
        <v>890</v>
      </c>
      <c r="C42" s="20" t="s">
        <v>4</v>
      </c>
      <c r="D42" s="173">
        <f t="shared" si="0"/>
        <v>30</v>
      </c>
      <c r="E42" s="43" t="s">
        <v>458</v>
      </c>
      <c r="F42" s="179">
        <f>F34/2</f>
        <v>25</v>
      </c>
      <c r="G42" s="364" t="s">
        <v>458</v>
      </c>
      <c r="K42" s="110"/>
      <c r="L42" s="81"/>
      <c r="M42" s="81"/>
      <c r="N42" s="71" t="s">
        <v>890</v>
      </c>
      <c r="O42" s="23">
        <f t="shared" si="1"/>
        <v>30</v>
      </c>
      <c r="P42" s="43" t="s">
        <v>458</v>
      </c>
      <c r="Q42" s="73" t="s">
        <v>352</v>
      </c>
      <c r="R42" s="23">
        <f>IF($J$19=1, O26,R26)</f>
        <v>2</v>
      </c>
      <c r="S42" s="86" t="s">
        <v>468</v>
      </c>
      <c r="T42" s="90"/>
      <c r="U42" s="44"/>
    </row>
    <row r="43" spans="2:26" ht="15.95" customHeight="1" x14ac:dyDescent="0.15">
      <c r="B43" s="71" t="s">
        <v>891</v>
      </c>
      <c r="C43" s="20" t="s">
        <v>4</v>
      </c>
      <c r="D43" s="173">
        <f t="shared" si="0"/>
        <v>84.109947643979055</v>
      </c>
      <c r="E43" s="43" t="s">
        <v>458</v>
      </c>
      <c r="F43" s="179">
        <f>F33/2</f>
        <v>50</v>
      </c>
      <c r="G43" s="364" t="s">
        <v>458</v>
      </c>
      <c r="H43" s="336" t="s">
        <v>407</v>
      </c>
      <c r="I43" s="20" t="s">
        <v>9</v>
      </c>
      <c r="J43" s="108">
        <f>D40/J40</f>
        <v>0.41815771644402761</v>
      </c>
      <c r="K43" s="110"/>
      <c r="L43" s="81"/>
      <c r="M43" s="81"/>
      <c r="N43" s="71" t="s">
        <v>891</v>
      </c>
      <c r="O43" s="23">
        <f t="shared" si="1"/>
        <v>84.109947643979055</v>
      </c>
      <c r="P43" s="43" t="s">
        <v>458</v>
      </c>
      <c r="Q43" s="73" t="s">
        <v>353</v>
      </c>
      <c r="R43" s="158">
        <f>IF($J$19=1, O27,R27)</f>
        <v>2</v>
      </c>
      <c r="S43" s="86" t="s">
        <v>468</v>
      </c>
      <c r="T43" s="90"/>
      <c r="U43" s="44"/>
    </row>
    <row r="44" spans="2:26" ht="15.95" customHeight="1" thickBot="1" x14ac:dyDescent="0.2">
      <c r="B44" s="71" t="s">
        <v>996</v>
      </c>
      <c r="C44" s="20" t="s">
        <v>4</v>
      </c>
      <c r="D44" s="167">
        <f t="shared" si="0"/>
        <v>15413.288888888888</v>
      </c>
      <c r="E44" s="43" t="s">
        <v>470</v>
      </c>
      <c r="F44" s="170">
        <f>F41/F42</f>
        <v>10519.146666666667</v>
      </c>
      <c r="G44" s="166" t="s">
        <v>470</v>
      </c>
      <c r="H44" s="363" t="s">
        <v>408</v>
      </c>
      <c r="I44" s="33" t="s">
        <v>9</v>
      </c>
      <c r="J44" s="569">
        <f>1-J43</f>
        <v>0.58184228355597245</v>
      </c>
      <c r="K44" s="141"/>
      <c r="L44" s="81"/>
      <c r="M44" s="81"/>
      <c r="N44" s="71" t="s">
        <v>195</v>
      </c>
      <c r="O44" s="23">
        <f t="shared" si="1"/>
        <v>15413.288888888888</v>
      </c>
      <c r="P44" s="43" t="s">
        <v>470</v>
      </c>
      <c r="Q44" s="91"/>
      <c r="R44" s="81"/>
      <c r="S44" s="92"/>
      <c r="T44" s="90"/>
      <c r="U44" s="44"/>
    </row>
    <row r="45" spans="2:26" ht="15.95" customHeight="1" thickBot="1" x14ac:dyDescent="0.2">
      <c r="B45" s="87" t="s">
        <v>349</v>
      </c>
      <c r="C45" s="33" t="s">
        <v>4</v>
      </c>
      <c r="D45" s="168">
        <f t="shared" si="0"/>
        <v>1064553.0909090908</v>
      </c>
      <c r="E45" s="88" t="s">
        <v>470</v>
      </c>
      <c r="F45" s="89"/>
      <c r="G45" s="81"/>
      <c r="H45" s="81"/>
      <c r="K45" s="81"/>
      <c r="L45" s="81"/>
      <c r="M45" s="81"/>
      <c r="N45" s="87" t="s">
        <v>349</v>
      </c>
      <c r="O45" s="152">
        <f t="shared" si="1"/>
        <v>1064553.0909090908</v>
      </c>
      <c r="P45" s="153" t="s">
        <v>470</v>
      </c>
      <c r="Q45" s="94"/>
      <c r="R45" s="93"/>
      <c r="S45" s="95"/>
      <c r="T45" s="90"/>
      <c r="U45" s="44"/>
    </row>
    <row r="46" spans="2:26" ht="15.95" customHeight="1" x14ac:dyDescent="0.15">
      <c r="B46" s="708" t="s">
        <v>1000</v>
      </c>
      <c r="C46" s="708"/>
      <c r="D46" s="708"/>
      <c r="E46" s="708"/>
      <c r="F46" s="708"/>
      <c r="G46" s="708"/>
      <c r="H46" s="708"/>
      <c r="I46" s="708"/>
      <c r="J46" s="708"/>
      <c r="K46" s="708"/>
      <c r="L46" s="81"/>
      <c r="M46" s="81"/>
      <c r="N46" s="336"/>
      <c r="O46" s="23"/>
      <c r="P46" s="43"/>
      <c r="S46" s="69"/>
      <c r="T46" s="90"/>
      <c r="U46" s="44"/>
    </row>
    <row r="47" spans="2:26" ht="15.95" hidden="1" customHeight="1" x14ac:dyDescent="0.15">
      <c r="B47" s="77" t="s">
        <v>84</v>
      </c>
      <c r="M47" s="81"/>
    </row>
    <row r="48" spans="2:26" ht="15.95" hidden="1" customHeight="1" x14ac:dyDescent="0.15"/>
    <row r="49" spans="1:8" ht="15.95" hidden="1" customHeight="1" x14ac:dyDescent="0.15">
      <c r="B49" s="43" t="s">
        <v>200</v>
      </c>
    </row>
    <row r="50" spans="1:8" ht="15.95" hidden="1" customHeight="1" x14ac:dyDescent="0.15">
      <c r="A50" s="49"/>
    </row>
    <row r="51" spans="1:8" ht="15.95" hidden="1" customHeight="1" x14ac:dyDescent="0.15">
      <c r="A51" s="49"/>
    </row>
    <row r="52" spans="1:8" ht="15.95" hidden="1" customHeight="1" x14ac:dyDescent="0.15">
      <c r="A52" s="49"/>
    </row>
    <row r="53" spans="1:8" ht="15.95" hidden="1" customHeight="1" x14ac:dyDescent="0.15">
      <c r="A53" s="49"/>
    </row>
    <row r="54" spans="1:8" ht="15.95" hidden="1" customHeight="1" x14ac:dyDescent="0.15">
      <c r="A54" s="49"/>
    </row>
    <row r="55" spans="1:8" ht="15.95" hidden="1" customHeight="1" x14ac:dyDescent="0.15">
      <c r="A55" s="49"/>
    </row>
    <row r="56" spans="1:8" ht="15.95" hidden="1" customHeight="1" x14ac:dyDescent="0.15">
      <c r="A56" s="49"/>
    </row>
    <row r="57" spans="1:8" ht="15.95" hidden="1" customHeight="1" x14ac:dyDescent="0.15">
      <c r="A57" s="49"/>
    </row>
    <row r="58" spans="1:8" ht="15.95" hidden="1" customHeight="1" x14ac:dyDescent="0.15">
      <c r="A58" s="49"/>
    </row>
    <row r="59" spans="1:8" ht="15.95" hidden="1" customHeight="1" x14ac:dyDescent="0.15"/>
    <row r="60" spans="1:8" ht="15.95" hidden="1" customHeight="1" x14ac:dyDescent="0.15">
      <c r="B60" s="24" t="s">
        <v>91</v>
      </c>
    </row>
    <row r="61" spans="1:8" ht="15.95" hidden="1" customHeight="1" x14ac:dyDescent="0.15"/>
    <row r="62" spans="1:8" ht="15.95" hidden="1" customHeight="1" x14ac:dyDescent="0.15">
      <c r="B62" s="36" t="s">
        <v>85</v>
      </c>
      <c r="C62" s="20" t="s">
        <v>4</v>
      </c>
      <c r="D62" s="36" t="s">
        <v>88</v>
      </c>
      <c r="E62" s="68"/>
      <c r="F62" s="43"/>
      <c r="G62" s="20" t="s">
        <v>9</v>
      </c>
      <c r="H62" s="36" t="s">
        <v>101</v>
      </c>
    </row>
    <row r="63" spans="1:8" ht="15.95" hidden="1" customHeight="1" x14ac:dyDescent="0.15">
      <c r="B63" s="36" t="s">
        <v>86</v>
      </c>
      <c r="C63" s="20" t="s">
        <v>4</v>
      </c>
      <c r="D63" s="36" t="s">
        <v>89</v>
      </c>
      <c r="E63" s="68"/>
      <c r="F63" s="43"/>
      <c r="G63" s="20"/>
      <c r="H63" s="36"/>
    </row>
    <row r="64" spans="1:8" ht="15.95" hidden="1" customHeight="1" x14ac:dyDescent="0.15">
      <c r="B64" s="36" t="s">
        <v>87</v>
      </c>
      <c r="C64" s="20" t="s">
        <v>4</v>
      </c>
      <c r="D64" s="36" t="s">
        <v>90</v>
      </c>
      <c r="E64" s="68"/>
      <c r="F64" s="43"/>
      <c r="G64" s="20" t="s">
        <v>9</v>
      </c>
      <c r="H64" s="36" t="s">
        <v>102</v>
      </c>
    </row>
    <row r="65" spans="1:14" ht="15.95" hidden="1" customHeight="1" x14ac:dyDescent="0.15">
      <c r="B65" s="36" t="s">
        <v>65</v>
      </c>
      <c r="C65" s="20" t="s">
        <v>4</v>
      </c>
      <c r="D65" s="36" t="s">
        <v>207</v>
      </c>
      <c r="E65" s="68"/>
      <c r="F65" s="43"/>
      <c r="G65" s="20"/>
      <c r="H65" s="36"/>
    </row>
    <row r="66" spans="1:14" ht="15.95" hidden="1" customHeight="1" x14ac:dyDescent="0.15">
      <c r="B66" s="78" t="s">
        <v>120</v>
      </c>
      <c r="C66" s="20" t="s">
        <v>4</v>
      </c>
      <c r="D66" s="36" t="s">
        <v>189</v>
      </c>
      <c r="E66" s="38"/>
      <c r="F66" s="43"/>
      <c r="G66" s="20"/>
      <c r="H66" s="36" t="s">
        <v>103</v>
      </c>
    </row>
    <row r="67" spans="1:14" ht="15.95" hidden="1" customHeight="1" x14ac:dyDescent="0.15"/>
    <row r="68" spans="1:14" ht="15.95" hidden="1" customHeight="1" x14ac:dyDescent="0.15"/>
    <row r="69" spans="1:14" ht="15.95" hidden="1" customHeight="1" x14ac:dyDescent="0.15">
      <c r="A69" s="49"/>
      <c r="B69" s="24" t="s">
        <v>92</v>
      </c>
    </row>
    <row r="70" spans="1:14" ht="15.95" hidden="1" customHeight="1" x14ac:dyDescent="0.15"/>
    <row r="71" spans="1:14" ht="15.95" hidden="1" customHeight="1" x14ac:dyDescent="0.15">
      <c r="B71" s="78" t="s">
        <v>2</v>
      </c>
      <c r="C71" s="20" t="s">
        <v>4</v>
      </c>
      <c r="D71" s="172">
        <f>D11</f>
        <v>4750</v>
      </c>
      <c r="E71" s="43" t="s">
        <v>458</v>
      </c>
      <c r="G71" s="20" t="s">
        <v>9</v>
      </c>
      <c r="H71" s="36" t="s">
        <v>398</v>
      </c>
    </row>
    <row r="72" spans="1:14" ht="15.95" hidden="1" customHeight="1" x14ac:dyDescent="0.15">
      <c r="B72" s="78" t="s">
        <v>43</v>
      </c>
      <c r="C72" s="20" t="s">
        <v>4</v>
      </c>
      <c r="D72" s="172">
        <f>D10</f>
        <v>250</v>
      </c>
      <c r="E72" s="43" t="s">
        <v>458</v>
      </c>
      <c r="G72" s="20" t="s">
        <v>9</v>
      </c>
      <c r="H72" s="36" t="s">
        <v>399</v>
      </c>
      <c r="N72" s="36"/>
    </row>
    <row r="73" spans="1:14" ht="15.95" hidden="1" customHeight="1" x14ac:dyDescent="0.15">
      <c r="B73" s="78" t="s">
        <v>111</v>
      </c>
      <c r="C73" s="20" t="s">
        <v>4</v>
      </c>
      <c r="D73" s="172">
        <f>(D71^2-D72^2)/(2*D71)</f>
        <v>2368.4210526315787</v>
      </c>
      <c r="E73" s="43" t="s">
        <v>458</v>
      </c>
      <c r="G73" s="20" t="s">
        <v>9</v>
      </c>
      <c r="H73" s="36" t="s">
        <v>126</v>
      </c>
      <c r="J73" s="38"/>
      <c r="K73" s="20"/>
      <c r="L73" s="79"/>
      <c r="N73" s="36"/>
    </row>
    <row r="74" spans="1:14" ht="15.95" hidden="1" customHeight="1" x14ac:dyDescent="0.15">
      <c r="B74" s="78" t="s">
        <v>1132</v>
      </c>
      <c r="C74" s="20" t="s">
        <v>4</v>
      </c>
      <c r="D74" s="96">
        <f>0.7*ABS(D5/1000*(D7+D8)/2)</f>
        <v>0.12867007999999999</v>
      </c>
      <c r="E74" s="24" t="s">
        <v>477</v>
      </c>
      <c r="G74" s="20" t="s">
        <v>9</v>
      </c>
      <c r="H74" s="36" t="s">
        <v>97</v>
      </c>
      <c r="M74" s="49"/>
      <c r="N74" s="36"/>
    </row>
    <row r="75" spans="1:14" ht="15.95" hidden="1" customHeight="1" x14ac:dyDescent="0.15">
      <c r="B75" s="78" t="s">
        <v>5</v>
      </c>
      <c r="C75" s="20" t="s">
        <v>4</v>
      </c>
      <c r="D75" s="172">
        <f>D6</f>
        <v>69637.021649999995</v>
      </c>
      <c r="E75" s="43" t="s">
        <v>457</v>
      </c>
      <c r="G75" s="20" t="s">
        <v>9</v>
      </c>
      <c r="H75" s="36" t="s">
        <v>95</v>
      </c>
    </row>
    <row r="76" spans="1:14" ht="15.95" hidden="1" customHeight="1" x14ac:dyDescent="0.15">
      <c r="B76" s="22" t="s">
        <v>999</v>
      </c>
      <c r="C76" s="20" t="s">
        <v>4</v>
      </c>
      <c r="D76" s="172">
        <f>J41</f>
        <v>1251334.6666666665</v>
      </c>
      <c r="E76" s="24" t="s">
        <v>475</v>
      </c>
      <c r="G76" s="20" t="s">
        <v>9</v>
      </c>
      <c r="H76" s="36" t="s">
        <v>406</v>
      </c>
    </row>
    <row r="77" spans="1:14" ht="15.95" hidden="1" customHeight="1" x14ac:dyDescent="0.15">
      <c r="F77" s="24" t="s">
        <v>0</v>
      </c>
    </row>
    <row r="78" spans="1:14" ht="15.95" hidden="1" customHeight="1" x14ac:dyDescent="0.15"/>
    <row r="79" spans="1:14" ht="15.95" hidden="1" customHeight="1" x14ac:dyDescent="0.15">
      <c r="A79" s="35"/>
      <c r="B79" s="24" t="s">
        <v>104</v>
      </c>
    </row>
    <row r="80" spans="1:14" ht="15.95" hidden="1" customHeight="1" x14ac:dyDescent="0.15"/>
    <row r="81" spans="1:11" ht="15.95" hidden="1" customHeight="1" x14ac:dyDescent="0.15">
      <c r="A81" s="24" t="s">
        <v>1</v>
      </c>
      <c r="B81" s="78" t="s">
        <v>105</v>
      </c>
      <c r="C81" s="20" t="s">
        <v>4</v>
      </c>
      <c r="D81" s="36" t="s">
        <v>112</v>
      </c>
      <c r="H81" s="78" t="s">
        <v>86</v>
      </c>
      <c r="I81" s="20" t="s">
        <v>4</v>
      </c>
      <c r="J81" s="97" t="s">
        <v>113</v>
      </c>
    </row>
    <row r="82" spans="1:11" ht="15.95" hidden="1" customHeight="1" x14ac:dyDescent="0.15">
      <c r="B82" s="78"/>
      <c r="C82" s="20" t="s">
        <v>4</v>
      </c>
      <c r="D82" s="172">
        <f>D74*(D71^2-D72^2)/(2*D71)</f>
        <v>304.74492631578943</v>
      </c>
      <c r="E82" s="24" t="s">
        <v>476</v>
      </c>
      <c r="H82" s="78"/>
      <c r="I82" s="20" t="s">
        <v>4</v>
      </c>
      <c r="J82" s="172">
        <f>D74*(D71+D72)^2/(2*D71)</f>
        <v>338.60547368421055</v>
      </c>
      <c r="K82" s="24" t="s">
        <v>476</v>
      </c>
    </row>
    <row r="83" spans="1:11" ht="15.95" hidden="1" customHeight="1" x14ac:dyDescent="0.15"/>
    <row r="84" spans="1:11" ht="15.95" hidden="1" customHeight="1" x14ac:dyDescent="0.15">
      <c r="B84" s="78" t="s">
        <v>106</v>
      </c>
      <c r="C84" s="20" t="s">
        <v>4</v>
      </c>
      <c r="D84" s="97" t="s">
        <v>110</v>
      </c>
      <c r="H84" s="78" t="s">
        <v>107</v>
      </c>
      <c r="I84" s="20" t="s">
        <v>4</v>
      </c>
      <c r="J84" s="97" t="s">
        <v>114</v>
      </c>
    </row>
    <row r="85" spans="1:11" ht="15.95" hidden="1" customHeight="1" x14ac:dyDescent="0.15">
      <c r="B85" s="78"/>
      <c r="C85" s="20" t="s">
        <v>4</v>
      </c>
      <c r="D85" s="172">
        <f>(D74*D72^2/2)</f>
        <v>4020.9399999999996</v>
      </c>
      <c r="E85" s="43" t="s">
        <v>498</v>
      </c>
      <c r="H85" s="78"/>
      <c r="I85" s="20" t="s">
        <v>4</v>
      </c>
      <c r="J85" s="172">
        <f>((D82*D73)-(D74*D73^2/2))</f>
        <v>360882.14958448743</v>
      </c>
      <c r="K85" s="43" t="s">
        <v>498</v>
      </c>
    </row>
    <row r="86" spans="1:11" ht="15.95" hidden="1" customHeight="1" x14ac:dyDescent="0.15"/>
    <row r="87" spans="1:11" ht="15.95" hidden="1" customHeight="1" x14ac:dyDescent="0.15">
      <c r="B87" s="78" t="s">
        <v>108</v>
      </c>
      <c r="C87" s="20" t="s">
        <v>4</v>
      </c>
      <c r="D87" s="97" t="s">
        <v>115</v>
      </c>
    </row>
    <row r="88" spans="1:11" ht="15.95" hidden="1" customHeight="1" x14ac:dyDescent="0.15">
      <c r="B88" s="78"/>
      <c r="C88" s="20" t="s">
        <v>4</v>
      </c>
      <c r="D88" s="79">
        <f>(D74*D72^4/(8*D75*D76))+((D74*D71*D72*(4*D72^2-D71^2))/(24*D75*D76))</f>
        <v>-1.6294550827157173</v>
      </c>
      <c r="E88" s="43" t="s">
        <v>458</v>
      </c>
    </row>
    <row r="89" spans="1:11" ht="15.95" hidden="1" customHeight="1" x14ac:dyDescent="0.15"/>
    <row r="90" spans="1:11" ht="15.95" hidden="1" customHeight="1" x14ac:dyDescent="0.15">
      <c r="B90" s="78" t="s">
        <v>109</v>
      </c>
      <c r="C90" s="20" t="s">
        <v>4</v>
      </c>
      <c r="D90" s="97" t="s">
        <v>116</v>
      </c>
    </row>
    <row r="91" spans="1:11" ht="15.95" hidden="1" customHeight="1" x14ac:dyDescent="0.15">
      <c r="B91" s="68"/>
      <c r="C91" s="20" t="s">
        <v>4</v>
      </c>
      <c r="D91" s="79">
        <f>(5*D74*D71^4/(384*D75*D76))-(D85*D71^2/(16*D75*D76))</f>
        <v>9.722550513962485</v>
      </c>
      <c r="E91" s="43" t="s">
        <v>458</v>
      </c>
    </row>
    <row r="92" spans="1:11" ht="15.95" hidden="1" customHeight="1" x14ac:dyDescent="0.15"/>
    <row r="93" spans="1:11" ht="15.95" hidden="1" customHeight="1" x14ac:dyDescent="0.15">
      <c r="B93" s="43" t="s">
        <v>201</v>
      </c>
    </row>
    <row r="94" spans="1:11" ht="15.95" hidden="1" customHeight="1" x14ac:dyDescent="0.15">
      <c r="A94" s="49"/>
    </row>
    <row r="95" spans="1:11" ht="15.95" hidden="1" customHeight="1" x14ac:dyDescent="0.15">
      <c r="A95" s="49"/>
    </row>
    <row r="96" spans="1:11" ht="15.95" hidden="1" customHeight="1" x14ac:dyDescent="0.15">
      <c r="A96" s="49"/>
    </row>
    <row r="97" spans="1:8" ht="15.95" hidden="1" customHeight="1" x14ac:dyDescent="0.15">
      <c r="A97" s="49"/>
    </row>
    <row r="98" spans="1:8" ht="15.95" hidden="1" customHeight="1" x14ac:dyDescent="0.15">
      <c r="A98" s="49"/>
    </row>
    <row r="99" spans="1:8" ht="15.95" hidden="1" customHeight="1" x14ac:dyDescent="0.15">
      <c r="A99" s="49"/>
    </row>
    <row r="100" spans="1:8" ht="15.95" hidden="1" customHeight="1" x14ac:dyDescent="0.15">
      <c r="A100" s="49"/>
    </row>
    <row r="101" spans="1:8" ht="15.95" hidden="1" customHeight="1" x14ac:dyDescent="0.15">
      <c r="A101" s="49"/>
    </row>
    <row r="102" spans="1:8" ht="15.95" hidden="1" customHeight="1" x14ac:dyDescent="0.15">
      <c r="A102" s="49"/>
    </row>
    <row r="103" spans="1:8" ht="15.95" hidden="1" customHeight="1" x14ac:dyDescent="0.15">
      <c r="A103" s="49"/>
    </row>
    <row r="104" spans="1:8" ht="15.95" hidden="1" customHeight="1" x14ac:dyDescent="0.15"/>
    <row r="105" spans="1:8" ht="15.95" hidden="1" customHeight="1" x14ac:dyDescent="0.15">
      <c r="B105" s="24" t="s">
        <v>91</v>
      </c>
    </row>
    <row r="106" spans="1:8" ht="15.95" hidden="1" customHeight="1" x14ac:dyDescent="0.15"/>
    <row r="107" spans="1:8" ht="15.95" hidden="1" customHeight="1" x14ac:dyDescent="0.15">
      <c r="B107" s="78" t="s">
        <v>105</v>
      </c>
      <c r="C107" s="20" t="s">
        <v>4</v>
      </c>
      <c r="D107" s="36" t="s">
        <v>251</v>
      </c>
      <c r="E107" s="68"/>
      <c r="G107" s="20" t="s">
        <v>9</v>
      </c>
      <c r="H107" s="98" t="s">
        <v>101</v>
      </c>
    </row>
    <row r="108" spans="1:8" ht="15.95" hidden="1" customHeight="1" x14ac:dyDescent="0.15">
      <c r="B108" s="78" t="s">
        <v>86</v>
      </c>
      <c r="C108" s="20" t="s">
        <v>4</v>
      </c>
      <c r="D108" s="99" t="s">
        <v>252</v>
      </c>
    </row>
    <row r="109" spans="1:8" ht="15.95" hidden="1" customHeight="1" x14ac:dyDescent="0.15"/>
    <row r="110" spans="1:8" ht="15.95" hidden="1" customHeight="1" x14ac:dyDescent="0.15"/>
    <row r="111" spans="1:8" ht="15.95" hidden="1" customHeight="1" x14ac:dyDescent="0.15">
      <c r="A111" s="49"/>
      <c r="B111" s="24" t="s">
        <v>92</v>
      </c>
    </row>
    <row r="112" spans="1:8" ht="15.95" hidden="1" customHeight="1" x14ac:dyDescent="0.15"/>
    <row r="113" spans="1:8" ht="15.95" hidden="1" customHeight="1" x14ac:dyDescent="0.15">
      <c r="B113" s="98" t="s">
        <v>2</v>
      </c>
      <c r="C113" s="20" t="s">
        <v>4</v>
      </c>
      <c r="D113" s="172">
        <f>D11</f>
        <v>4750</v>
      </c>
      <c r="E113" s="43" t="s">
        <v>458</v>
      </c>
      <c r="G113" s="20" t="s">
        <v>9</v>
      </c>
      <c r="H113" s="36" t="s">
        <v>98</v>
      </c>
    </row>
    <row r="114" spans="1:8" ht="15.95" hidden="1" customHeight="1" x14ac:dyDescent="0.15">
      <c r="B114" s="36" t="s">
        <v>43</v>
      </c>
      <c r="C114" s="20" t="s">
        <v>4</v>
      </c>
      <c r="D114" s="174">
        <f>D10</f>
        <v>250</v>
      </c>
      <c r="E114" s="43" t="s">
        <v>458</v>
      </c>
      <c r="G114" s="20" t="s">
        <v>9</v>
      </c>
      <c r="H114" s="36" t="s">
        <v>99</v>
      </c>
    </row>
    <row r="115" spans="1:8" ht="15.95" hidden="1" customHeight="1" x14ac:dyDescent="0.15">
      <c r="B115" s="100" t="s">
        <v>117</v>
      </c>
      <c r="C115" s="20" t="s">
        <v>4</v>
      </c>
      <c r="D115" s="172">
        <f>D82</f>
        <v>304.74492631578943</v>
      </c>
      <c r="E115" s="24" t="s">
        <v>476</v>
      </c>
      <c r="G115" s="20" t="s">
        <v>9</v>
      </c>
      <c r="H115" s="36" t="s">
        <v>118</v>
      </c>
    </row>
    <row r="116" spans="1:8" ht="15.95" hidden="1" customHeight="1" x14ac:dyDescent="0.15">
      <c r="F116" s="24" t="s">
        <v>0</v>
      </c>
    </row>
    <row r="117" spans="1:8" ht="15.95" hidden="1" customHeight="1" x14ac:dyDescent="0.15"/>
    <row r="118" spans="1:8" ht="15.95" hidden="1" customHeight="1" x14ac:dyDescent="0.15">
      <c r="A118" s="35"/>
      <c r="B118" s="24" t="s">
        <v>104</v>
      </c>
    </row>
    <row r="119" spans="1:8" ht="15.95" hidden="1" customHeight="1" x14ac:dyDescent="0.15"/>
    <row r="120" spans="1:8" ht="15.95" hidden="1" customHeight="1" x14ac:dyDescent="0.15">
      <c r="A120" s="24" t="s">
        <v>1</v>
      </c>
      <c r="B120" s="78" t="s">
        <v>105</v>
      </c>
      <c r="C120" s="20" t="s">
        <v>4</v>
      </c>
      <c r="D120" s="36" t="s">
        <v>253</v>
      </c>
    </row>
    <row r="121" spans="1:8" ht="15.95" hidden="1" customHeight="1" x14ac:dyDescent="0.15">
      <c r="B121" s="49"/>
      <c r="C121" s="20" t="s">
        <v>4</v>
      </c>
      <c r="D121" s="172">
        <f>D115*D114/D113</f>
        <v>16.039206648199443</v>
      </c>
      <c r="E121" s="24" t="s">
        <v>476</v>
      </c>
    </row>
    <row r="122" spans="1:8" ht="15.95" hidden="1" customHeight="1" x14ac:dyDescent="0.15">
      <c r="B122" s="78" t="s">
        <v>86</v>
      </c>
      <c r="C122" s="20" t="s">
        <v>4</v>
      </c>
      <c r="D122" s="99" t="s">
        <v>252</v>
      </c>
    </row>
    <row r="123" spans="1:8" ht="15.95" hidden="1" customHeight="1" x14ac:dyDescent="0.15">
      <c r="B123" s="49"/>
      <c r="C123" s="20" t="s">
        <v>4</v>
      </c>
      <c r="D123" s="172">
        <f>(D114+D113)/D113*D115</f>
        <v>320.78413296398884</v>
      </c>
      <c r="E123" s="24" t="s">
        <v>476</v>
      </c>
    </row>
    <row r="124" spans="1:8" ht="15.95" hidden="1" customHeight="1" x14ac:dyDescent="0.15">
      <c r="B124" s="49"/>
      <c r="C124" s="20"/>
      <c r="D124" s="79"/>
    </row>
    <row r="125" spans="1:8" ht="15.95" hidden="1" customHeight="1" x14ac:dyDescent="0.15">
      <c r="B125" s="49"/>
      <c r="C125" s="20"/>
      <c r="D125" s="79"/>
    </row>
    <row r="126" spans="1:8" ht="15.95" hidden="1" customHeight="1" x14ac:dyDescent="0.15">
      <c r="B126" s="49"/>
      <c r="C126" s="20"/>
      <c r="D126" s="79"/>
    </row>
    <row r="127" spans="1:8" ht="15.95" hidden="1" customHeight="1" x14ac:dyDescent="0.15">
      <c r="B127" s="49"/>
      <c r="C127" s="20"/>
      <c r="D127" s="79"/>
    </row>
    <row r="128" spans="1:8" ht="15.95" hidden="1" customHeight="1" x14ac:dyDescent="0.15">
      <c r="B128" s="49"/>
      <c r="C128" s="20"/>
      <c r="D128" s="79"/>
    </row>
    <row r="129" spans="1:4" ht="15.95" hidden="1" customHeight="1" x14ac:dyDescent="0.15">
      <c r="B129" s="49"/>
      <c r="C129" s="20"/>
      <c r="D129" s="79"/>
    </row>
    <row r="130" spans="1:4" ht="15.95" hidden="1" customHeight="1" x14ac:dyDescent="0.15">
      <c r="B130" s="49"/>
      <c r="C130" s="20"/>
      <c r="D130" s="79"/>
    </row>
    <row r="131" spans="1:4" ht="15.95" hidden="1" customHeight="1" x14ac:dyDescent="0.15">
      <c r="B131" s="49"/>
      <c r="C131" s="20"/>
      <c r="D131" s="79"/>
    </row>
    <row r="132" spans="1:4" ht="15.95" hidden="1" customHeight="1" x14ac:dyDescent="0.15">
      <c r="B132" s="49"/>
      <c r="C132" s="20"/>
      <c r="D132" s="79"/>
    </row>
    <row r="133" spans="1:4" ht="15.95" hidden="1" customHeight="1" x14ac:dyDescent="0.15">
      <c r="B133" s="49"/>
      <c r="C133" s="20"/>
      <c r="D133" s="79"/>
    </row>
    <row r="134" spans="1:4" ht="15.95" hidden="1" customHeight="1" x14ac:dyDescent="0.15">
      <c r="B134" s="49"/>
      <c r="C134" s="20"/>
      <c r="D134" s="79"/>
    </row>
    <row r="135" spans="1:4" ht="15.95" hidden="1" customHeight="1" x14ac:dyDescent="0.15">
      <c r="B135" s="49"/>
      <c r="C135" s="20"/>
      <c r="D135" s="79"/>
    </row>
    <row r="136" spans="1:4" ht="15.95" hidden="1" customHeight="1" x14ac:dyDescent="0.15">
      <c r="B136" s="49"/>
      <c r="C136" s="20"/>
      <c r="D136" s="79"/>
    </row>
    <row r="137" spans="1:4" ht="15.95" hidden="1" customHeight="1" x14ac:dyDescent="0.15">
      <c r="B137" s="49"/>
      <c r="C137" s="20"/>
      <c r="D137" s="79"/>
    </row>
    <row r="138" spans="1:4" ht="15.95" hidden="1" customHeight="1" x14ac:dyDescent="0.15">
      <c r="B138" s="49"/>
      <c r="C138" s="20"/>
      <c r="D138" s="79"/>
    </row>
    <row r="139" spans="1:4" ht="15.95" hidden="1" customHeight="1" x14ac:dyDescent="0.15">
      <c r="B139" s="43" t="s">
        <v>202</v>
      </c>
    </row>
    <row r="140" spans="1:4" ht="15.95" hidden="1" customHeight="1" x14ac:dyDescent="0.15">
      <c r="A140" s="49"/>
    </row>
    <row r="141" spans="1:4" ht="15.95" hidden="1" customHeight="1" x14ac:dyDescent="0.15">
      <c r="A141" s="49"/>
    </row>
    <row r="142" spans="1:4" ht="15.95" hidden="1" customHeight="1" x14ac:dyDescent="0.15">
      <c r="A142" s="49"/>
    </row>
    <row r="143" spans="1:4" ht="15.95" hidden="1" customHeight="1" x14ac:dyDescent="0.15">
      <c r="A143" s="49"/>
    </row>
    <row r="144" spans="1:4" ht="15.95" hidden="1" customHeight="1" x14ac:dyDescent="0.15">
      <c r="A144" s="49"/>
    </row>
    <row r="145" spans="1:14" ht="15.95" hidden="1" customHeight="1" x14ac:dyDescent="0.15">
      <c r="A145" s="49"/>
    </row>
    <row r="146" spans="1:14" ht="15.95" hidden="1" customHeight="1" x14ac:dyDescent="0.15">
      <c r="A146" s="49"/>
    </row>
    <row r="147" spans="1:14" ht="15.95" hidden="1" customHeight="1" x14ac:dyDescent="0.15">
      <c r="A147" s="49"/>
    </row>
    <row r="148" spans="1:14" ht="15.95" hidden="1" customHeight="1" x14ac:dyDescent="0.15">
      <c r="A148" s="49"/>
    </row>
    <row r="149" spans="1:14" ht="15.95" hidden="1" customHeight="1" x14ac:dyDescent="0.15">
      <c r="A149" s="49"/>
    </row>
    <row r="150" spans="1:14" ht="15.95" hidden="1" customHeight="1" x14ac:dyDescent="0.15"/>
    <row r="151" spans="1:14" ht="15.95" hidden="1" customHeight="1" x14ac:dyDescent="0.15">
      <c r="B151" s="24" t="s">
        <v>91</v>
      </c>
    </row>
    <row r="152" spans="1:14" ht="15.95" hidden="1" customHeight="1" x14ac:dyDescent="0.15"/>
    <row r="153" spans="1:14" ht="15.95" hidden="1" customHeight="1" x14ac:dyDescent="0.15">
      <c r="B153" s="78" t="s">
        <v>105</v>
      </c>
      <c r="C153" s="20" t="s">
        <v>4</v>
      </c>
      <c r="D153" s="36" t="s">
        <v>253</v>
      </c>
      <c r="E153" s="68"/>
      <c r="G153" s="20" t="s">
        <v>9</v>
      </c>
      <c r="H153" s="98" t="s">
        <v>101</v>
      </c>
    </row>
    <row r="154" spans="1:14" ht="15.95" hidden="1" customHeight="1" x14ac:dyDescent="0.15">
      <c r="B154" s="78" t="s">
        <v>86</v>
      </c>
      <c r="C154" s="20" t="s">
        <v>4</v>
      </c>
      <c r="D154" s="99" t="s">
        <v>252</v>
      </c>
      <c r="E154" s="68"/>
    </row>
    <row r="155" spans="1:14" ht="15.95" hidden="1" customHeight="1" x14ac:dyDescent="0.15">
      <c r="B155" s="78" t="s">
        <v>87</v>
      </c>
      <c r="C155" s="20" t="s">
        <v>4</v>
      </c>
      <c r="D155" s="36" t="s">
        <v>121</v>
      </c>
      <c r="E155" s="68"/>
      <c r="G155" s="20" t="s">
        <v>9</v>
      </c>
      <c r="H155" s="36" t="s">
        <v>102</v>
      </c>
    </row>
    <row r="156" spans="1:14" ht="15.95" hidden="1" customHeight="1" x14ac:dyDescent="0.15">
      <c r="B156" s="78" t="s">
        <v>119</v>
      </c>
      <c r="C156" s="20" t="s">
        <v>4</v>
      </c>
      <c r="D156" s="36" t="s">
        <v>122</v>
      </c>
      <c r="E156" s="68"/>
      <c r="G156" s="36" t="s">
        <v>124</v>
      </c>
      <c r="H156" s="36"/>
    </row>
    <row r="157" spans="1:14" ht="15.95" hidden="1" customHeight="1" x14ac:dyDescent="0.15">
      <c r="B157" s="78" t="s">
        <v>120</v>
      </c>
      <c r="C157" s="20" t="s">
        <v>4</v>
      </c>
      <c r="D157" s="36" t="s">
        <v>123</v>
      </c>
      <c r="E157" s="38"/>
      <c r="G157" s="20" t="s">
        <v>9</v>
      </c>
      <c r="H157" s="36" t="s">
        <v>103</v>
      </c>
      <c r="N157" s="43"/>
    </row>
    <row r="158" spans="1:14" ht="15.95" hidden="1" customHeight="1" x14ac:dyDescent="0.15">
      <c r="N158" s="43"/>
    </row>
    <row r="159" spans="1:14" ht="15.95" hidden="1" customHeight="1" x14ac:dyDescent="0.15"/>
    <row r="160" spans="1:14" ht="15.95" hidden="1" customHeight="1" x14ac:dyDescent="0.15">
      <c r="A160" s="49"/>
      <c r="B160" s="24" t="s">
        <v>92</v>
      </c>
    </row>
    <row r="161" spans="1:11" ht="15.95" hidden="1" customHeight="1" x14ac:dyDescent="0.15"/>
    <row r="162" spans="1:11" ht="15.95" hidden="1" customHeight="1" x14ac:dyDescent="0.15">
      <c r="B162" s="98" t="s">
        <v>2</v>
      </c>
      <c r="C162" s="20" t="s">
        <v>4</v>
      </c>
      <c r="D162" s="172">
        <f>D71</f>
        <v>4750</v>
      </c>
      <c r="E162" s="43" t="s">
        <v>458</v>
      </c>
      <c r="F162" s="43"/>
      <c r="G162" s="20" t="s">
        <v>9</v>
      </c>
      <c r="H162" s="36" t="s">
        <v>98</v>
      </c>
    </row>
    <row r="163" spans="1:11" ht="15.95" hidden="1" customHeight="1" x14ac:dyDescent="0.15">
      <c r="B163" s="36" t="s">
        <v>43</v>
      </c>
      <c r="C163" s="20" t="s">
        <v>4</v>
      </c>
      <c r="D163" s="174">
        <f>D72</f>
        <v>250</v>
      </c>
      <c r="E163" s="43" t="s">
        <v>458</v>
      </c>
      <c r="F163" s="43"/>
      <c r="G163" s="20" t="s">
        <v>9</v>
      </c>
      <c r="H163" s="36" t="s">
        <v>99</v>
      </c>
    </row>
    <row r="164" spans="1:11" ht="15.95" hidden="1" customHeight="1" x14ac:dyDescent="0.15">
      <c r="B164" s="36" t="s">
        <v>125</v>
      </c>
      <c r="C164" s="20" t="s">
        <v>4</v>
      </c>
      <c r="D164" s="172">
        <f>(D162^2-D163^2)/(2*D162)</f>
        <v>2368.4210526315787</v>
      </c>
      <c r="E164" s="43" t="s">
        <v>458</v>
      </c>
      <c r="F164" s="43"/>
      <c r="G164" s="20" t="s">
        <v>9</v>
      </c>
      <c r="H164" s="36" t="s">
        <v>126</v>
      </c>
      <c r="K164" s="36"/>
    </row>
    <row r="165" spans="1:11" ht="15.95" hidden="1" customHeight="1" x14ac:dyDescent="0.15">
      <c r="B165" s="100" t="s">
        <v>117</v>
      </c>
      <c r="C165" s="20" t="s">
        <v>4</v>
      </c>
      <c r="D165" s="172">
        <f>D82</f>
        <v>304.74492631578943</v>
      </c>
      <c r="E165" s="24" t="s">
        <v>476</v>
      </c>
      <c r="G165" s="20" t="s">
        <v>9</v>
      </c>
      <c r="H165" s="36" t="s">
        <v>127</v>
      </c>
    </row>
    <row r="166" spans="1:11" ht="15.95" hidden="1" customHeight="1" x14ac:dyDescent="0.15">
      <c r="B166" s="100" t="s">
        <v>7</v>
      </c>
      <c r="C166" s="20" t="s">
        <v>4</v>
      </c>
      <c r="D166" s="172">
        <f>D165-D121</f>
        <v>288.70571966758996</v>
      </c>
      <c r="E166" s="24" t="s">
        <v>476</v>
      </c>
      <c r="F166" s="43"/>
      <c r="G166" s="20" t="s">
        <v>9</v>
      </c>
      <c r="H166" s="36" t="s">
        <v>128</v>
      </c>
      <c r="K166" s="36"/>
    </row>
    <row r="167" spans="1:11" ht="15.95" hidden="1" customHeight="1" x14ac:dyDescent="0.15">
      <c r="B167" s="78" t="s">
        <v>5</v>
      </c>
      <c r="C167" s="20" t="s">
        <v>4</v>
      </c>
      <c r="D167" s="172">
        <f>D75</f>
        <v>69637.021649999995</v>
      </c>
      <c r="E167" s="43" t="s">
        <v>457</v>
      </c>
      <c r="G167" s="20" t="s">
        <v>9</v>
      </c>
      <c r="H167" s="36" t="s">
        <v>95</v>
      </c>
    </row>
    <row r="168" spans="1:11" ht="15.95" hidden="1" customHeight="1" x14ac:dyDescent="0.15">
      <c r="B168" s="22" t="s">
        <v>999</v>
      </c>
      <c r="C168" s="20" t="s">
        <v>4</v>
      </c>
      <c r="D168" s="172">
        <f>D76</f>
        <v>1251334.6666666665</v>
      </c>
      <c r="E168" s="24" t="s">
        <v>475</v>
      </c>
      <c r="G168" s="20" t="s">
        <v>9</v>
      </c>
      <c r="H168" s="36" t="s">
        <v>406</v>
      </c>
    </row>
    <row r="169" spans="1:11" ht="15.95" hidden="1" customHeight="1" x14ac:dyDescent="0.15">
      <c r="B169" s="22"/>
      <c r="C169" s="20"/>
      <c r="D169" s="109"/>
      <c r="G169" s="20"/>
      <c r="H169" s="36"/>
    </row>
    <row r="170" spans="1:11" ht="15.95" hidden="1" customHeight="1" x14ac:dyDescent="0.15"/>
    <row r="171" spans="1:11" ht="15.95" hidden="1" customHeight="1" x14ac:dyDescent="0.15">
      <c r="A171" s="35"/>
      <c r="B171" s="24" t="s">
        <v>104</v>
      </c>
    </row>
    <row r="172" spans="1:11" ht="15.95" hidden="1" customHeight="1" x14ac:dyDescent="0.15"/>
    <row r="173" spans="1:11" ht="15.95" hidden="1" customHeight="1" x14ac:dyDescent="0.15">
      <c r="A173" s="24" t="s">
        <v>1</v>
      </c>
      <c r="B173" s="78" t="s">
        <v>105</v>
      </c>
      <c r="C173" s="20" t="s">
        <v>4</v>
      </c>
      <c r="D173" s="36" t="s">
        <v>253</v>
      </c>
      <c r="H173" s="78" t="s">
        <v>86</v>
      </c>
      <c r="I173" s="20" t="s">
        <v>4</v>
      </c>
      <c r="J173" s="99" t="s">
        <v>252</v>
      </c>
    </row>
    <row r="174" spans="1:11" ht="15.95" hidden="1" customHeight="1" x14ac:dyDescent="0.15">
      <c r="B174" s="78"/>
      <c r="C174" s="20" t="s">
        <v>4</v>
      </c>
      <c r="D174" s="172">
        <f>D166*D163/D162</f>
        <v>15.195037877241575</v>
      </c>
      <c r="E174" s="24" t="s">
        <v>476</v>
      </c>
      <c r="H174" s="49"/>
      <c r="I174" s="20" t="s">
        <v>4</v>
      </c>
      <c r="J174" s="172">
        <f>(D163+D162)/D162*D166</f>
        <v>303.90075754483149</v>
      </c>
      <c r="K174" s="24" t="s">
        <v>476</v>
      </c>
    </row>
    <row r="175" spans="1:11" ht="15.95" hidden="1" customHeight="1" x14ac:dyDescent="0.15"/>
    <row r="176" spans="1:11" ht="15.95" hidden="1" customHeight="1" x14ac:dyDescent="0.15">
      <c r="B176" s="78" t="s">
        <v>87</v>
      </c>
      <c r="C176" s="20" t="s">
        <v>4</v>
      </c>
      <c r="D176" s="36" t="s">
        <v>121</v>
      </c>
      <c r="H176" s="78" t="s">
        <v>119</v>
      </c>
      <c r="I176" s="20" t="s">
        <v>4</v>
      </c>
      <c r="J176" s="36" t="s">
        <v>122</v>
      </c>
    </row>
    <row r="177" spans="1:26" ht="15.95" hidden="1" customHeight="1" x14ac:dyDescent="0.15">
      <c r="C177" s="20" t="s">
        <v>4</v>
      </c>
      <c r="D177" s="172">
        <f>(D166*D163)</f>
        <v>72176.429916897483</v>
      </c>
      <c r="E177" s="43" t="s">
        <v>498</v>
      </c>
      <c r="I177" s="20" t="s">
        <v>4</v>
      </c>
      <c r="J177" s="172">
        <f>((D166*D163)*(D164/D162))</f>
        <v>35988.247603993201</v>
      </c>
      <c r="K177" s="43" t="s">
        <v>498</v>
      </c>
    </row>
    <row r="178" spans="1:26" ht="15.95" hidden="1" customHeight="1" x14ac:dyDescent="0.15"/>
    <row r="179" spans="1:26" ht="15.95" hidden="1" customHeight="1" x14ac:dyDescent="0.15">
      <c r="B179" s="78" t="s">
        <v>130</v>
      </c>
      <c r="C179" s="20" t="s">
        <v>4</v>
      </c>
      <c r="D179" s="97" t="s">
        <v>131</v>
      </c>
    </row>
    <row r="180" spans="1:26" ht="15.95" hidden="1" customHeight="1" x14ac:dyDescent="0.15">
      <c r="B180" s="68"/>
      <c r="C180" s="20" t="s">
        <v>4</v>
      </c>
      <c r="D180" s="34">
        <f>((D166*D163^2*(D162+D163))/(3*D167*D168))</f>
        <v>0.34512028815394291</v>
      </c>
      <c r="E180" s="43" t="s">
        <v>458</v>
      </c>
    </row>
    <row r="181" spans="1:26" ht="15.95" hidden="1" customHeight="1" x14ac:dyDescent="0.15"/>
    <row r="182" spans="1:26" ht="15.95" hidden="1" customHeight="1" x14ac:dyDescent="0.15">
      <c r="B182" s="78" t="s">
        <v>129</v>
      </c>
      <c r="C182" s="20" t="s">
        <v>4</v>
      </c>
      <c r="D182" s="36" t="s">
        <v>123</v>
      </c>
    </row>
    <row r="183" spans="1:26" ht="15.95" hidden="1" customHeight="1" x14ac:dyDescent="0.15">
      <c r="B183" s="68"/>
      <c r="C183" s="20" t="s">
        <v>4</v>
      </c>
      <c r="D183" s="34">
        <f>(0.0642*D166*D163*D162^2/(D167*D168))</f>
        <v>1.1997865233470115</v>
      </c>
      <c r="E183" s="43" t="s">
        <v>458</v>
      </c>
    </row>
    <row r="184" spans="1:26" ht="15.95" hidden="1" customHeight="1" x14ac:dyDescent="0.15"/>
    <row r="185" spans="1:26" ht="15.95" hidden="1" customHeight="1" x14ac:dyDescent="0.15">
      <c r="A185" s="43"/>
      <c r="B185" s="77" t="s">
        <v>144</v>
      </c>
      <c r="C185" s="43"/>
      <c r="D185" s="43"/>
      <c r="E185" s="43"/>
      <c r="F185" s="43"/>
      <c r="G185" s="43"/>
      <c r="H185" s="43"/>
      <c r="I185" s="43"/>
      <c r="J185" s="43"/>
      <c r="K185" s="43"/>
      <c r="L185" s="43"/>
    </row>
    <row r="186" spans="1:26" ht="15.95" hidden="1" customHeight="1" x14ac:dyDescent="0.15">
      <c r="A186" s="47"/>
      <c r="B186" s="47"/>
      <c r="C186" s="47"/>
      <c r="D186" s="47"/>
      <c r="E186" s="47"/>
      <c r="F186" s="47"/>
      <c r="G186" s="47"/>
      <c r="H186" s="47"/>
      <c r="I186" s="47"/>
      <c r="J186" s="48"/>
      <c r="K186" s="37"/>
      <c r="L186" s="48"/>
      <c r="N186" s="45" t="s">
        <v>355</v>
      </c>
      <c r="O186" s="361">
        <f>G6</f>
        <v>5</v>
      </c>
      <c r="P186" s="46"/>
    </row>
    <row r="187" spans="1:26" s="47" customFormat="1" ht="15.95" hidden="1" customHeight="1" x14ac:dyDescent="0.15">
      <c r="A187" s="24"/>
      <c r="B187" s="49" t="s">
        <v>289</v>
      </c>
      <c r="C187" s="49"/>
      <c r="G187" s="50" t="s">
        <v>290</v>
      </c>
      <c r="H187" s="101"/>
      <c r="I187" s="43"/>
      <c r="J187" s="102"/>
      <c r="K187" s="51"/>
      <c r="L187" s="24"/>
      <c r="M187" s="48"/>
      <c r="N187" s="37"/>
      <c r="O187" s="37"/>
      <c r="P187" s="37"/>
      <c r="V187" s="52"/>
      <c r="X187" s="52"/>
      <c r="Z187" s="52"/>
    </row>
    <row r="188" spans="1:26" s="47" customFormat="1" ht="15.95" hidden="1" customHeight="1" x14ac:dyDescent="0.15">
      <c r="A188" s="24"/>
      <c r="B188" s="49"/>
      <c r="C188" s="24"/>
      <c r="D188" s="24"/>
      <c r="E188" s="24"/>
      <c r="G188" s="37"/>
      <c r="I188" s="24"/>
      <c r="J188" s="49"/>
      <c r="K188" s="38"/>
      <c r="L188" s="24"/>
      <c r="M188" s="24"/>
      <c r="N188" s="52" t="s">
        <v>291</v>
      </c>
      <c r="O188" s="360">
        <v>14</v>
      </c>
      <c r="P188" s="24"/>
      <c r="S188" s="24"/>
      <c r="V188" s="52"/>
      <c r="X188" s="52"/>
      <c r="Z188" s="52"/>
    </row>
    <row r="189" spans="1:26" s="47" customFormat="1" ht="15.95" hidden="1" customHeight="1" x14ac:dyDescent="0.15">
      <c r="A189" s="24"/>
      <c r="B189" s="36" t="s">
        <v>344</v>
      </c>
      <c r="C189" s="20" t="s">
        <v>4</v>
      </c>
      <c r="D189" s="176">
        <f>D12</f>
        <v>2600</v>
      </c>
      <c r="E189" s="29" t="s">
        <v>479</v>
      </c>
      <c r="F189" s="24"/>
      <c r="G189" s="36" t="s">
        <v>294</v>
      </c>
      <c r="H189" s="20" t="s">
        <v>295</v>
      </c>
      <c r="I189" s="155">
        <f>2*D189*D191/(SQRT(D190*D192))</f>
        <v>60.087764625503318</v>
      </c>
      <c r="K189" s="38"/>
      <c r="L189" s="24"/>
      <c r="M189" s="38" t="s">
        <v>292</v>
      </c>
      <c r="N189" s="103">
        <v>5</v>
      </c>
      <c r="O189" s="103">
        <v>6</v>
      </c>
      <c r="Q189" s="702" t="s">
        <v>293</v>
      </c>
      <c r="R189" s="703"/>
      <c r="S189" s="704" t="s">
        <v>328</v>
      </c>
      <c r="T189" s="705"/>
      <c r="U189" s="706"/>
      <c r="V189" s="52"/>
      <c r="X189" s="52"/>
      <c r="Z189" s="52"/>
    </row>
    <row r="190" spans="1:26" s="47" customFormat="1" ht="15.95" hidden="1" customHeight="1" x14ac:dyDescent="0.15">
      <c r="A190" s="24"/>
      <c r="B190" s="36" t="s">
        <v>995</v>
      </c>
      <c r="C190" s="20" t="s">
        <v>4</v>
      </c>
      <c r="D190" s="176">
        <f>D40</f>
        <v>1671313.4310645724</v>
      </c>
      <c r="E190" s="29" t="s">
        <v>475</v>
      </c>
      <c r="F190" s="24"/>
      <c r="G190" s="57" t="s">
        <v>300</v>
      </c>
      <c r="H190" s="38"/>
      <c r="I190" s="38"/>
      <c r="J190" s="52"/>
      <c r="K190" s="38"/>
      <c r="L190" s="24"/>
      <c r="M190" s="24"/>
      <c r="N190" s="53">
        <v>0</v>
      </c>
      <c r="O190" s="53">
        <v>0</v>
      </c>
      <c r="P190" s="37" t="s">
        <v>296</v>
      </c>
      <c r="Q190" s="54" t="s">
        <v>297</v>
      </c>
      <c r="R190" s="55" t="s">
        <v>298</v>
      </c>
      <c r="S190" s="55">
        <v>1</v>
      </c>
      <c r="T190" s="56">
        <f>IF(O186=5, N190, O190)</f>
        <v>0</v>
      </c>
      <c r="U190" s="55" t="str">
        <f>P190</f>
        <v>S  ≤  S₁</v>
      </c>
      <c r="V190" s="52"/>
      <c r="X190" s="52"/>
      <c r="Z190" s="52"/>
    </row>
    <row r="191" spans="1:26" s="47" customFormat="1" ht="15.95" hidden="1" customHeight="1" x14ac:dyDescent="0.15">
      <c r="B191" s="36" t="s">
        <v>996</v>
      </c>
      <c r="C191" s="20" t="s">
        <v>4</v>
      </c>
      <c r="D191" s="176">
        <f>D44</f>
        <v>15413.288888888888</v>
      </c>
      <c r="E191" s="29" t="s">
        <v>471</v>
      </c>
      <c r="G191" s="36" t="str">
        <f>U194</f>
        <v>S₁&lt;  S  &lt; S₂</v>
      </c>
      <c r="J191" s="24"/>
      <c r="K191" s="38"/>
      <c r="L191" s="24"/>
      <c r="M191" s="24"/>
      <c r="N191" s="58">
        <v>0</v>
      </c>
      <c r="O191" s="58">
        <v>0</v>
      </c>
      <c r="P191" s="37" t="s">
        <v>301</v>
      </c>
      <c r="Q191" s="59">
        <f>IF(O186=5, N191,O191)</f>
        <v>0</v>
      </c>
      <c r="R191" s="60">
        <f>IF(O186=5,N193,O193)</f>
        <v>3823</v>
      </c>
      <c r="S191" s="62">
        <v>2</v>
      </c>
      <c r="T191" s="61">
        <f>IF(O186=5, N192, O192)</f>
        <v>9.9573859136873004</v>
      </c>
      <c r="U191" s="62" t="str">
        <f>P192</f>
        <v>S₁&lt;  S  &lt; S₂</v>
      </c>
      <c r="V191" s="52"/>
      <c r="X191" s="52"/>
      <c r="Z191" s="52"/>
    </row>
    <row r="192" spans="1:26" s="47" customFormat="1" ht="15.95" hidden="1" customHeight="1" x14ac:dyDescent="0.15">
      <c r="A192" s="24"/>
      <c r="B192" s="36" t="s">
        <v>304</v>
      </c>
      <c r="C192" s="20" t="s">
        <v>4</v>
      </c>
      <c r="D192" s="176">
        <f>D45</f>
        <v>1064553.0909090908</v>
      </c>
      <c r="E192" s="29" t="s">
        <v>475</v>
      </c>
      <c r="F192" s="38"/>
      <c r="H192" s="38"/>
      <c r="I192" s="24"/>
      <c r="J192" s="24"/>
      <c r="K192" s="24"/>
      <c r="L192" s="24"/>
      <c r="M192" s="24"/>
      <c r="N192" s="58">
        <f>10.5-0.07*SQRT(I189)</f>
        <v>9.9573859136873004</v>
      </c>
      <c r="O192" s="58">
        <f>16.7-0.14*SQRT(I189)</f>
        <v>15.6147718273746</v>
      </c>
      <c r="P192" s="37" t="s">
        <v>302</v>
      </c>
      <c r="Q192" s="104" t="s">
        <v>303</v>
      </c>
      <c r="S192" s="60">
        <v>3</v>
      </c>
      <c r="T192" s="63">
        <f>IF(O186=5, N194, O194)</f>
        <v>392.74218548619081</v>
      </c>
      <c r="U192" s="60" t="str">
        <f>P194</f>
        <v>S  ≥  S₂</v>
      </c>
      <c r="V192" s="52"/>
      <c r="X192" s="52"/>
      <c r="Z192" s="52"/>
    </row>
    <row r="193" spans="1:26" s="47" customFormat="1" ht="15.95" hidden="1" customHeight="1" thickBot="1" x14ac:dyDescent="0.2">
      <c r="A193" s="24"/>
      <c r="B193" s="36" t="s">
        <v>308</v>
      </c>
      <c r="C193" s="20" t="s">
        <v>4</v>
      </c>
      <c r="D193" s="24">
        <f>T194</f>
        <v>9.9573859136873004</v>
      </c>
      <c r="E193" s="29" t="s">
        <v>187</v>
      </c>
      <c r="F193" s="38"/>
      <c r="K193" s="24"/>
      <c r="L193" s="24"/>
      <c r="M193" s="24"/>
      <c r="N193" s="58">
        <v>3823</v>
      </c>
      <c r="O193" s="58">
        <v>2400</v>
      </c>
      <c r="P193" s="37" t="s">
        <v>306</v>
      </c>
      <c r="Q193" s="55" t="s">
        <v>307</v>
      </c>
      <c r="V193" s="52"/>
      <c r="X193" s="52"/>
      <c r="Z193" s="52"/>
    </row>
    <row r="194" spans="1:26" s="47" customFormat="1" ht="15.95" hidden="1" customHeight="1" thickBot="1" x14ac:dyDescent="0.2">
      <c r="A194" s="24"/>
      <c r="C194" s="20" t="s">
        <v>4</v>
      </c>
      <c r="D194" s="29">
        <f>D193*6.894757</f>
        <v>68.653756230096917</v>
      </c>
      <c r="E194" s="29" t="s">
        <v>457</v>
      </c>
      <c r="F194" s="38"/>
      <c r="G194" s="38"/>
      <c r="H194" s="38"/>
      <c r="I194" s="24"/>
      <c r="J194" s="24"/>
      <c r="K194" s="24"/>
      <c r="L194" s="24"/>
      <c r="M194" s="24"/>
      <c r="N194" s="64">
        <f>23599/I189</f>
        <v>392.74218548619081</v>
      </c>
      <c r="O194" s="64">
        <f>23599/I189</f>
        <v>392.74218548619081</v>
      </c>
      <c r="P194" s="37" t="s">
        <v>309</v>
      </c>
      <c r="Q194" s="60">
        <f>I189</f>
        <v>60.087764625503318</v>
      </c>
      <c r="S194" s="105">
        <f>IF(Q194&lt;=Q191,1,IF(AND(Q194&gt;Q191,Q194&lt;R191),2,3))</f>
        <v>2</v>
      </c>
      <c r="T194" s="65">
        <f>VLOOKUP(S194, S190:T192, 2, FALSE)</f>
        <v>9.9573859136873004</v>
      </c>
      <c r="U194" s="66" t="str">
        <f>VLOOKUP(S194,S190:U192, 3, FALSE)</f>
        <v>S₁&lt;  S  &lt; S₂</v>
      </c>
      <c r="V194" s="52"/>
      <c r="X194" s="52"/>
      <c r="Z194" s="52"/>
    </row>
    <row r="195" spans="1:26" s="47" customFormat="1" ht="15.95" hidden="1" customHeight="1" x14ac:dyDescent="0.15">
      <c r="A195" s="24"/>
      <c r="C195" s="20"/>
      <c r="D195" s="29"/>
      <c r="E195" s="29"/>
      <c r="F195" s="38"/>
      <c r="G195" s="38"/>
      <c r="H195" s="38"/>
      <c r="I195" s="24"/>
      <c r="J195" s="24"/>
      <c r="K195" s="24"/>
      <c r="L195" s="24"/>
      <c r="M195" s="24"/>
      <c r="V195" s="52"/>
      <c r="X195" s="52"/>
      <c r="Z195" s="52"/>
    </row>
    <row r="196" spans="1:26" s="47" customFormat="1" ht="15.95" hidden="1" customHeight="1" x14ac:dyDescent="0.15">
      <c r="A196" s="24"/>
      <c r="B196" s="49" t="s">
        <v>310</v>
      </c>
      <c r="C196" s="49"/>
      <c r="D196" s="156"/>
      <c r="E196" s="156"/>
      <c r="G196" s="50" t="s">
        <v>311</v>
      </c>
      <c r="H196" s="101"/>
      <c r="I196" s="38"/>
      <c r="J196" s="102"/>
      <c r="K196" s="24"/>
      <c r="L196" s="24"/>
      <c r="M196" s="24"/>
      <c r="V196" s="52"/>
      <c r="X196" s="52"/>
      <c r="Z196" s="52"/>
    </row>
    <row r="197" spans="1:26" s="47" customFormat="1" ht="15.95" hidden="1" customHeight="1" x14ac:dyDescent="0.15">
      <c r="A197" s="24"/>
      <c r="B197" s="49"/>
      <c r="C197" s="49"/>
      <c r="D197" s="156"/>
      <c r="E197" s="156"/>
      <c r="F197" s="49"/>
      <c r="G197" s="49"/>
      <c r="H197" s="49"/>
      <c r="I197" s="24"/>
      <c r="J197" s="49"/>
      <c r="K197" s="24"/>
      <c r="L197" s="24"/>
      <c r="M197" s="24"/>
      <c r="N197" s="52" t="s">
        <v>291</v>
      </c>
      <c r="O197" s="360">
        <v>16</v>
      </c>
      <c r="P197" s="24"/>
      <c r="S197" s="24"/>
      <c r="V197" s="52"/>
      <c r="X197" s="52"/>
      <c r="Z197" s="52"/>
    </row>
    <row r="198" spans="1:26" s="47" customFormat="1" ht="15.95" hidden="1" customHeight="1" x14ac:dyDescent="0.15">
      <c r="A198" s="24"/>
      <c r="B198" s="36" t="s">
        <v>77</v>
      </c>
      <c r="C198" s="20" t="s">
        <v>4</v>
      </c>
      <c r="D198" s="23">
        <f>R41</f>
        <v>116</v>
      </c>
      <c r="E198" s="29" t="s">
        <v>479</v>
      </c>
      <c r="F198" s="24"/>
      <c r="G198" s="36" t="str">
        <f>U203</f>
        <v>S  ≥  S₂</v>
      </c>
      <c r="K198" s="24"/>
      <c r="L198" s="24"/>
      <c r="M198" s="38" t="s">
        <v>292</v>
      </c>
      <c r="N198" s="103">
        <v>5</v>
      </c>
      <c r="O198" s="103">
        <v>6</v>
      </c>
      <c r="Q198" s="702" t="s">
        <v>293</v>
      </c>
      <c r="R198" s="703"/>
      <c r="S198" s="704" t="s">
        <v>328</v>
      </c>
      <c r="T198" s="705"/>
      <c r="U198" s="706"/>
      <c r="V198" s="52"/>
      <c r="X198" s="52"/>
      <c r="Z198" s="52"/>
    </row>
    <row r="199" spans="1:26" s="47" customFormat="1" ht="15.95" hidden="1" customHeight="1" x14ac:dyDescent="0.15">
      <c r="A199" s="24"/>
      <c r="B199" s="36" t="s">
        <v>333</v>
      </c>
      <c r="C199" s="20" t="s">
        <v>4</v>
      </c>
      <c r="D199" s="23">
        <f>R43</f>
        <v>2</v>
      </c>
      <c r="E199" s="29" t="s">
        <v>479</v>
      </c>
      <c r="G199" s="24"/>
      <c r="H199" s="24"/>
      <c r="I199" s="24"/>
      <c r="J199" s="24"/>
      <c r="K199" s="24"/>
      <c r="L199" s="24"/>
      <c r="M199" s="24"/>
      <c r="N199" s="53">
        <v>9.6999999999999993</v>
      </c>
      <c r="O199" s="53">
        <v>15.2</v>
      </c>
      <c r="P199" s="37" t="s">
        <v>296</v>
      </c>
      <c r="Q199" s="54" t="s">
        <v>297</v>
      </c>
      <c r="R199" s="55" t="s">
        <v>298</v>
      </c>
      <c r="S199" s="55">
        <v>1</v>
      </c>
      <c r="T199" s="56">
        <f>IF(O186=5, N199, O199)</f>
        <v>9.6999999999999993</v>
      </c>
      <c r="U199" s="55" t="str">
        <f>P199</f>
        <v>S  ≤  S₁</v>
      </c>
      <c r="V199" s="52"/>
      <c r="X199" s="52"/>
      <c r="Z199" s="52"/>
    </row>
    <row r="200" spans="1:26" s="47" customFormat="1" ht="15.95" hidden="1" customHeight="1" x14ac:dyDescent="0.15">
      <c r="A200" s="24"/>
      <c r="B200" s="36" t="s">
        <v>356</v>
      </c>
      <c r="C200" s="20" t="s">
        <v>4</v>
      </c>
      <c r="D200" s="23">
        <f>D198/D199</f>
        <v>58</v>
      </c>
      <c r="E200" s="29"/>
      <c r="F200" s="24"/>
      <c r="H200" s="24"/>
      <c r="I200" s="24"/>
      <c r="J200" s="24"/>
      <c r="K200" s="24"/>
      <c r="L200" s="24"/>
      <c r="M200" s="24"/>
      <c r="N200" s="58">
        <v>25.6</v>
      </c>
      <c r="O200" s="58">
        <v>22.8</v>
      </c>
      <c r="P200" s="37" t="s">
        <v>301</v>
      </c>
      <c r="Q200" s="59">
        <f>IF(O186=5, N200,O200)</f>
        <v>25.6</v>
      </c>
      <c r="R200" s="60">
        <f>IF(O186=5,N202,O202)</f>
        <v>50</v>
      </c>
      <c r="S200" s="62">
        <v>2</v>
      </c>
      <c r="T200" s="61">
        <f>IF(O186=5, N201, O201)</f>
        <v>6.9860000000000007</v>
      </c>
      <c r="U200" s="62" t="str">
        <f>P201</f>
        <v>S₁&lt;  S  &lt; S₂</v>
      </c>
      <c r="V200" s="52"/>
      <c r="X200" s="52"/>
      <c r="Z200" s="52"/>
    </row>
    <row r="201" spans="1:26" s="47" customFormat="1" ht="15.95" hidden="1" customHeight="1" x14ac:dyDescent="0.15">
      <c r="A201" s="24"/>
      <c r="B201" s="36" t="s">
        <v>319</v>
      </c>
      <c r="C201" s="20" t="s">
        <v>4</v>
      </c>
      <c r="D201" s="24">
        <f>T203</f>
        <v>6.5862068965517242</v>
      </c>
      <c r="E201" s="29" t="s">
        <v>187</v>
      </c>
      <c r="F201" s="24"/>
      <c r="G201" s="24"/>
      <c r="H201" s="24"/>
      <c r="I201" s="24"/>
      <c r="J201" s="24"/>
      <c r="K201" s="24"/>
      <c r="L201" s="24"/>
      <c r="M201" s="24"/>
      <c r="N201" s="58">
        <f>11.8-0.083*D200</f>
        <v>6.9860000000000007</v>
      </c>
      <c r="O201" s="58">
        <f>19-0.17*(D200)</f>
        <v>9.1399999999999988</v>
      </c>
      <c r="P201" s="37" t="s">
        <v>302</v>
      </c>
      <c r="Q201" s="104" t="s">
        <v>303</v>
      </c>
      <c r="S201" s="60">
        <v>3</v>
      </c>
      <c r="T201" s="63">
        <f>IF(O186=5, N203, O203)</f>
        <v>6.5862068965517242</v>
      </c>
      <c r="U201" s="60" t="str">
        <f>P203</f>
        <v>S  ≥  S₂</v>
      </c>
      <c r="V201" s="52"/>
      <c r="X201" s="52"/>
      <c r="Z201" s="52"/>
    </row>
    <row r="202" spans="1:26" s="47" customFormat="1" ht="15.95" hidden="1" customHeight="1" thickBot="1" x14ac:dyDescent="0.2">
      <c r="A202" s="24"/>
      <c r="B202" s="43"/>
      <c r="C202" s="20" t="s">
        <v>4</v>
      </c>
      <c r="D202" s="29">
        <f>D201*6.894757</f>
        <v>45.410296103448275</v>
      </c>
      <c r="E202" s="29" t="s">
        <v>457</v>
      </c>
      <c r="F202" s="24"/>
      <c r="G202" s="24"/>
      <c r="H202" s="24"/>
      <c r="I202" s="24"/>
      <c r="J202" s="24"/>
      <c r="K202" s="24"/>
      <c r="L202" s="24"/>
      <c r="M202" s="24"/>
      <c r="N202" s="58">
        <v>50</v>
      </c>
      <c r="O202" s="58">
        <v>39</v>
      </c>
      <c r="P202" s="37" t="s">
        <v>306</v>
      </c>
      <c r="Q202" s="55" t="s">
        <v>307</v>
      </c>
      <c r="V202" s="52"/>
      <c r="X202" s="52"/>
      <c r="Z202" s="52"/>
    </row>
    <row r="203" spans="1:26" s="47" customFormat="1" ht="15.95" hidden="1" customHeight="1" thickBot="1" x14ac:dyDescent="0.2">
      <c r="A203" s="24"/>
      <c r="C203" s="20"/>
      <c r="D203" s="29"/>
      <c r="E203" s="29"/>
      <c r="F203" s="38"/>
      <c r="G203" s="38"/>
      <c r="H203" s="38"/>
      <c r="I203" s="24"/>
      <c r="J203" s="24"/>
      <c r="K203" s="24"/>
      <c r="L203" s="24"/>
      <c r="M203" s="24"/>
      <c r="N203" s="64">
        <f>382/D200</f>
        <v>6.5862068965517242</v>
      </c>
      <c r="O203" s="64">
        <f>484/D200</f>
        <v>8.3448275862068968</v>
      </c>
      <c r="P203" s="37" t="s">
        <v>309</v>
      </c>
      <c r="Q203" s="60">
        <f>D200</f>
        <v>58</v>
      </c>
      <c r="S203" s="105">
        <f>IF(Q203&lt;=Q200,1,IF(AND(Q203&gt;Q200,Q203&lt;R200),2,3))</f>
        <v>3</v>
      </c>
      <c r="T203" s="65">
        <f>VLOOKUP(S203, S199:T201, 2, FALSE)</f>
        <v>6.5862068965517242</v>
      </c>
      <c r="U203" s="66" t="str">
        <f>VLOOKUP(S203,S199:U201, 3, FALSE)</f>
        <v>S  ≥  S₂</v>
      </c>
      <c r="V203" s="52"/>
      <c r="X203" s="52"/>
      <c r="Z203" s="52"/>
    </row>
    <row r="204" spans="1:26" s="47" customFormat="1" ht="15.95" hidden="1" customHeight="1" x14ac:dyDescent="0.15">
      <c r="A204" s="24"/>
      <c r="B204" s="49" t="s">
        <v>310</v>
      </c>
      <c r="C204" s="49"/>
      <c r="D204" s="156"/>
      <c r="E204" s="156"/>
      <c r="F204" s="49"/>
      <c r="G204" s="50" t="s">
        <v>324</v>
      </c>
      <c r="H204" s="101"/>
      <c r="I204" s="24"/>
      <c r="J204" s="49"/>
      <c r="K204" s="24"/>
      <c r="L204" s="24"/>
      <c r="M204" s="24"/>
      <c r="V204" s="52"/>
      <c r="X204" s="52"/>
      <c r="Z204" s="52"/>
    </row>
    <row r="205" spans="1:26" s="47" customFormat="1" ht="15.95" hidden="1" customHeight="1" x14ac:dyDescent="0.15">
      <c r="A205" s="24"/>
      <c r="B205" s="49"/>
      <c r="C205" s="49"/>
      <c r="D205" s="156"/>
      <c r="E205" s="156"/>
      <c r="F205" s="49"/>
      <c r="G205" s="49"/>
      <c r="H205" s="49"/>
      <c r="I205" s="24"/>
      <c r="J205" s="49"/>
      <c r="K205" s="24"/>
      <c r="L205" s="24"/>
      <c r="M205" s="24"/>
      <c r="N205" s="52" t="s">
        <v>291</v>
      </c>
      <c r="O205" s="360">
        <v>18</v>
      </c>
      <c r="P205" s="24"/>
      <c r="S205" s="24"/>
      <c r="V205" s="52"/>
      <c r="X205" s="52"/>
      <c r="Z205" s="52"/>
    </row>
    <row r="206" spans="1:26" s="47" customFormat="1" ht="15.95" hidden="1" customHeight="1" x14ac:dyDescent="0.15">
      <c r="A206" s="24"/>
      <c r="B206" s="36" t="s">
        <v>76</v>
      </c>
      <c r="C206" s="20" t="s">
        <v>4</v>
      </c>
      <c r="D206" s="23">
        <f>R40</f>
        <v>56</v>
      </c>
      <c r="E206" s="29" t="s">
        <v>479</v>
      </c>
      <c r="F206" s="24"/>
      <c r="G206" s="36" t="str">
        <f>U211</f>
        <v>S  ≤  S₁</v>
      </c>
      <c r="K206" s="24"/>
      <c r="L206" s="24"/>
      <c r="M206" s="38" t="s">
        <v>292</v>
      </c>
      <c r="N206" s="103">
        <v>5</v>
      </c>
      <c r="O206" s="103">
        <v>6</v>
      </c>
      <c r="Q206" s="702" t="s">
        <v>293</v>
      </c>
      <c r="R206" s="703"/>
      <c r="S206" s="704" t="s">
        <v>328</v>
      </c>
      <c r="T206" s="705"/>
      <c r="U206" s="706"/>
      <c r="V206" s="52"/>
      <c r="X206" s="52"/>
      <c r="Z206" s="52"/>
    </row>
    <row r="207" spans="1:26" s="47" customFormat="1" ht="15.95" hidden="1" customHeight="1" x14ac:dyDescent="0.15">
      <c r="A207" s="24"/>
      <c r="B207" s="36" t="s">
        <v>333</v>
      </c>
      <c r="C207" s="20" t="s">
        <v>4</v>
      </c>
      <c r="D207" s="23">
        <f>R42</f>
        <v>2</v>
      </c>
      <c r="E207" s="29" t="s">
        <v>479</v>
      </c>
      <c r="F207" s="24"/>
      <c r="H207" s="24"/>
      <c r="I207" s="24"/>
      <c r="J207" s="24"/>
      <c r="K207" s="24"/>
      <c r="L207" s="24"/>
      <c r="M207" s="24"/>
      <c r="N207" s="53">
        <v>12.6</v>
      </c>
      <c r="O207" s="53">
        <v>19.7</v>
      </c>
      <c r="P207" s="37" t="s">
        <v>296</v>
      </c>
      <c r="Q207" s="54" t="s">
        <v>297</v>
      </c>
      <c r="R207" s="55" t="s">
        <v>298</v>
      </c>
      <c r="S207" s="55">
        <v>1</v>
      </c>
      <c r="T207" s="56">
        <f>IF(O186=5, N207, O207)</f>
        <v>12.6</v>
      </c>
      <c r="U207" s="55" t="str">
        <f>P207</f>
        <v>S  ≤  S₁</v>
      </c>
      <c r="V207" s="52"/>
      <c r="X207" s="52"/>
      <c r="Z207" s="52"/>
    </row>
    <row r="208" spans="1:26" s="47" customFormat="1" ht="15.95" hidden="1" customHeight="1" x14ac:dyDescent="0.15">
      <c r="A208" s="24"/>
      <c r="B208" s="36" t="s">
        <v>357</v>
      </c>
      <c r="C208" s="20" t="s">
        <v>4</v>
      </c>
      <c r="D208" s="23">
        <f>D206/D207</f>
        <v>28</v>
      </c>
      <c r="E208" s="29"/>
      <c r="F208" s="24"/>
      <c r="H208" s="24"/>
      <c r="I208" s="24"/>
      <c r="J208" s="24"/>
      <c r="K208" s="24"/>
      <c r="L208" s="24"/>
      <c r="M208" s="24"/>
      <c r="N208" s="58">
        <v>61</v>
      </c>
      <c r="O208" s="58">
        <v>54.9</v>
      </c>
      <c r="P208" s="37" t="s">
        <v>301</v>
      </c>
      <c r="Q208" s="59">
        <f>IF(O186=5, N208,O208)</f>
        <v>61</v>
      </c>
      <c r="R208" s="60">
        <f>IF(O186=5,N210,O210)</f>
        <v>115</v>
      </c>
      <c r="S208" s="62">
        <v>2</v>
      </c>
      <c r="T208" s="61">
        <f>IF(O186=5, N209, O209)</f>
        <v>15.028000000000002</v>
      </c>
      <c r="U208" s="62" t="str">
        <f>P209</f>
        <v>S₁&lt;  S  &lt; S₂</v>
      </c>
      <c r="V208" s="52"/>
      <c r="X208" s="52"/>
      <c r="Z208" s="52"/>
    </row>
    <row r="209" spans="1:26" s="47" customFormat="1" ht="15.95" hidden="1" customHeight="1" x14ac:dyDescent="0.15">
      <c r="A209" s="24"/>
      <c r="B209" s="36" t="s">
        <v>335</v>
      </c>
      <c r="C209" s="20" t="s">
        <v>4</v>
      </c>
      <c r="D209" s="24">
        <f>T211</f>
        <v>12.6</v>
      </c>
      <c r="E209" s="29" t="s">
        <v>187</v>
      </c>
      <c r="F209" s="24"/>
      <c r="G209" s="24"/>
      <c r="H209" s="24"/>
      <c r="I209" s="24"/>
      <c r="J209" s="24"/>
      <c r="K209" s="24"/>
      <c r="L209" s="24"/>
      <c r="M209" s="24"/>
      <c r="N209" s="58">
        <f>17.1-0.074*D208</f>
        <v>15.028000000000002</v>
      </c>
      <c r="O209" s="58">
        <f>27.9-0.15*(D208)</f>
        <v>23.7</v>
      </c>
      <c r="P209" s="37" t="s">
        <v>302</v>
      </c>
      <c r="Q209" s="104" t="s">
        <v>303</v>
      </c>
      <c r="S209" s="60">
        <v>3</v>
      </c>
      <c r="T209" s="63">
        <f>IF(O186=5, N211, O211)</f>
        <v>35.214285714285715</v>
      </c>
      <c r="U209" s="60" t="str">
        <f>P211</f>
        <v>S  ≥  S₂</v>
      </c>
      <c r="V209" s="52"/>
      <c r="X209" s="52"/>
      <c r="Z209" s="52"/>
    </row>
    <row r="210" spans="1:26" s="47" customFormat="1" ht="15.95" hidden="1" customHeight="1" thickBot="1" x14ac:dyDescent="0.2">
      <c r="A210" s="24"/>
      <c r="B210" s="38"/>
      <c r="C210" s="20" t="s">
        <v>4</v>
      </c>
      <c r="D210" s="29">
        <f>D209*6.894757</f>
        <v>86.873938199999998</v>
      </c>
      <c r="E210" s="29" t="s">
        <v>457</v>
      </c>
      <c r="F210" s="24"/>
      <c r="G210" s="24"/>
      <c r="H210" s="24"/>
      <c r="I210" s="24"/>
      <c r="J210" s="24"/>
      <c r="K210" s="24"/>
      <c r="L210" s="24"/>
      <c r="M210" s="24"/>
      <c r="N210" s="58">
        <v>115</v>
      </c>
      <c r="O210" s="58">
        <v>93</v>
      </c>
      <c r="P210" s="37" t="s">
        <v>306</v>
      </c>
      <c r="Q210" s="55" t="s">
        <v>307</v>
      </c>
      <c r="V210" s="52"/>
      <c r="X210" s="52"/>
      <c r="Z210" s="52"/>
    </row>
    <row r="211" spans="1:26" s="47" customFormat="1" ht="15.95" hidden="1" customHeight="1" thickBot="1" x14ac:dyDescent="0.2">
      <c r="A211" s="24"/>
      <c r="B211" s="24"/>
      <c r="C211" s="24"/>
      <c r="D211" s="29"/>
      <c r="E211" s="29"/>
      <c r="F211" s="24"/>
      <c r="G211" s="24"/>
      <c r="H211" s="24"/>
      <c r="I211" s="24"/>
      <c r="J211" s="24"/>
      <c r="K211" s="24"/>
      <c r="L211" s="24"/>
      <c r="M211" s="24"/>
      <c r="N211" s="64">
        <f>986/D208</f>
        <v>35.214285714285715</v>
      </c>
      <c r="O211" s="64">
        <f>1298/D208</f>
        <v>46.357142857142854</v>
      </c>
      <c r="P211" s="37" t="s">
        <v>309</v>
      </c>
      <c r="Q211" s="60">
        <f>D208</f>
        <v>28</v>
      </c>
      <c r="S211" s="105">
        <f>IF(Q211&lt;=Q208,1,IF(AND(Q211&gt;Q208,Q211&lt;=R208),2,3))</f>
        <v>1</v>
      </c>
      <c r="T211" s="65">
        <f>VLOOKUP(S211, S207:T209, 2, FALSE)</f>
        <v>12.6</v>
      </c>
      <c r="U211" s="66" t="str">
        <f>VLOOKUP(S211,S207:U209, 3, FALSE)</f>
        <v>S  ≤  S₁</v>
      </c>
      <c r="V211" s="52"/>
      <c r="X211" s="52"/>
      <c r="Z211" s="52"/>
    </row>
    <row r="212" spans="1:26" s="47" customFormat="1" ht="15.95" hidden="1" customHeight="1" x14ac:dyDescent="0.15">
      <c r="A212" s="24"/>
      <c r="B212" s="35" t="s">
        <v>336</v>
      </c>
      <c r="C212" s="24"/>
      <c r="D212" s="29"/>
      <c r="E212" s="19" t="s">
        <v>337</v>
      </c>
      <c r="F212" s="24" t="s">
        <v>338</v>
      </c>
      <c r="G212" s="24"/>
      <c r="H212" s="24"/>
      <c r="I212" s="24"/>
      <c r="J212" s="24"/>
      <c r="K212" s="24"/>
      <c r="L212" s="24"/>
      <c r="M212" s="24"/>
      <c r="N212" s="37"/>
      <c r="V212" s="52"/>
      <c r="X212" s="52"/>
      <c r="Z212" s="52"/>
    </row>
    <row r="213" spans="1:26" s="47" customFormat="1" ht="15.95" hidden="1" customHeight="1" x14ac:dyDescent="0.15">
      <c r="A213" s="24"/>
      <c r="B213" s="35"/>
      <c r="C213" s="24"/>
      <c r="D213" s="29"/>
      <c r="E213" s="29"/>
      <c r="F213" s="24"/>
      <c r="G213" s="24"/>
      <c r="H213" s="24"/>
      <c r="I213" s="24"/>
      <c r="J213" s="24"/>
      <c r="K213" s="24"/>
      <c r="L213" s="24"/>
      <c r="M213" s="24"/>
      <c r="N213" s="37"/>
      <c r="V213" s="52"/>
      <c r="X213" s="52"/>
      <c r="Z213" s="52"/>
    </row>
    <row r="214" spans="1:26" s="47" customFormat="1" ht="15.95" hidden="1" customHeight="1" x14ac:dyDescent="0.15">
      <c r="A214" s="24"/>
      <c r="B214" s="36" t="s">
        <v>135</v>
      </c>
      <c r="C214" s="20" t="s">
        <v>4</v>
      </c>
      <c r="D214" s="695" t="s">
        <v>1129</v>
      </c>
      <c r="E214" s="695"/>
      <c r="F214" s="24"/>
      <c r="G214" s="24"/>
      <c r="H214" s="24"/>
      <c r="I214" s="24"/>
      <c r="J214" s="24"/>
      <c r="K214" s="24"/>
      <c r="L214" s="24"/>
      <c r="M214" s="24"/>
      <c r="N214" s="37"/>
      <c r="V214" s="52"/>
      <c r="X214" s="52"/>
      <c r="Z214" s="52"/>
    </row>
    <row r="215" spans="1:26" s="47" customFormat="1" ht="15.95" hidden="1" customHeight="1" x14ac:dyDescent="0.15">
      <c r="A215" s="24"/>
      <c r="B215" s="38"/>
      <c r="C215" s="20" t="s">
        <v>4</v>
      </c>
      <c r="D215" s="23">
        <f>(D14*J43)/D44</f>
        <v>8.8142701481894328</v>
      </c>
      <c r="E215" s="29" t="s">
        <v>457</v>
      </c>
      <c r="F215" s="24"/>
      <c r="G215" s="24"/>
      <c r="H215" s="24"/>
      <c r="I215" s="24"/>
      <c r="J215" s="24"/>
      <c r="K215" s="24"/>
      <c r="L215" s="24"/>
      <c r="M215" s="24"/>
      <c r="N215" s="37"/>
      <c r="V215" s="52"/>
      <c r="X215" s="52"/>
      <c r="Z215" s="52"/>
    </row>
    <row r="216" spans="1:26" s="47" customFormat="1" ht="15.95" hidden="1" customHeight="1" x14ac:dyDescent="0.15">
      <c r="A216" s="24"/>
      <c r="B216" s="36" t="s">
        <v>139</v>
      </c>
      <c r="C216" s="20" t="s">
        <v>4</v>
      </c>
      <c r="D216" s="22" t="s">
        <v>341</v>
      </c>
      <c r="E216" s="157"/>
      <c r="F216" s="36"/>
      <c r="H216" s="24"/>
      <c r="I216" s="24"/>
      <c r="J216" s="24"/>
      <c r="K216" s="24"/>
      <c r="L216" s="24"/>
      <c r="M216" s="24"/>
      <c r="N216" s="24"/>
      <c r="O216" s="24"/>
      <c r="P216" s="24"/>
      <c r="Q216" s="24"/>
      <c r="V216" s="52"/>
      <c r="X216" s="52"/>
      <c r="Z216" s="52"/>
    </row>
    <row r="217" spans="1:26" s="47" customFormat="1" ht="15.95" hidden="1" customHeight="1" x14ac:dyDescent="0.15">
      <c r="A217" s="24"/>
      <c r="B217" s="43"/>
      <c r="C217" s="20" t="s">
        <v>4</v>
      </c>
      <c r="D217" s="67">
        <f>MIN(D194,D202,D210)</f>
        <v>45.410296103448275</v>
      </c>
      <c r="E217" s="29" t="s">
        <v>457</v>
      </c>
      <c r="F217" s="24"/>
      <c r="G217" s="38"/>
      <c r="H217" s="43"/>
      <c r="I217" s="38"/>
      <c r="J217" s="24"/>
      <c r="K217" s="24"/>
      <c r="L217" s="24"/>
      <c r="M217" s="24"/>
      <c r="N217" s="24"/>
      <c r="O217" s="24"/>
      <c r="P217" s="24"/>
      <c r="Q217" s="24"/>
      <c r="V217" s="52"/>
      <c r="X217" s="52"/>
      <c r="Z217" s="52"/>
    </row>
    <row r="218" spans="1:26" s="47" customFormat="1" ht="15.95" hidden="1" customHeight="1" x14ac:dyDescent="0.15">
      <c r="A218" s="24"/>
      <c r="C218" s="20"/>
      <c r="F218" s="24"/>
      <c r="G218" s="24"/>
      <c r="H218" s="24"/>
      <c r="I218" s="24"/>
      <c r="J218" s="24"/>
      <c r="K218" s="24"/>
      <c r="L218" s="24"/>
      <c r="M218" s="24"/>
      <c r="N218" s="24"/>
      <c r="O218" s="24"/>
      <c r="P218" s="24"/>
      <c r="Q218" s="24"/>
      <c r="V218" s="52"/>
      <c r="X218" s="52"/>
      <c r="Z218" s="52"/>
    </row>
    <row r="219" spans="1:26" s="47" customFormat="1" ht="15.95" hidden="1" customHeight="1" x14ac:dyDescent="0.15">
      <c r="A219" s="24"/>
      <c r="B219" s="24"/>
      <c r="C219" s="24"/>
      <c r="D219" s="24"/>
      <c r="E219" s="24"/>
      <c r="F219" s="24"/>
      <c r="G219" s="24"/>
      <c r="H219" s="24"/>
      <c r="I219" s="24"/>
      <c r="J219" s="24"/>
      <c r="K219" s="24"/>
      <c r="L219" s="24"/>
      <c r="M219" s="24"/>
      <c r="N219" s="24"/>
      <c r="O219" s="24"/>
      <c r="P219" s="24"/>
      <c r="Q219" s="24"/>
      <c r="V219" s="52"/>
      <c r="X219" s="52"/>
      <c r="Z219" s="52"/>
    </row>
    <row r="220" spans="1:26" ht="15.95" hidden="1" customHeight="1" x14ac:dyDescent="0.15">
      <c r="B220" s="35" t="s">
        <v>142</v>
      </c>
    </row>
    <row r="221" spans="1:26" ht="15.95" hidden="1" customHeight="1" x14ac:dyDescent="0.15"/>
    <row r="222" spans="1:26" ht="15.95" hidden="1" customHeight="1" x14ac:dyDescent="0.15">
      <c r="B222" s="36" t="s">
        <v>358</v>
      </c>
      <c r="C222" s="20" t="s">
        <v>4</v>
      </c>
      <c r="D222" s="38">
        <f>D215/D217</f>
        <v>0.19410289966200225</v>
      </c>
      <c r="E222" s="39" t="str">
        <f>IF(D222&gt;F222,"&gt;","&lt;")</f>
        <v>&lt;</v>
      </c>
      <c r="F222" s="19">
        <v>1</v>
      </c>
      <c r="G222" s="107" t="str">
        <f>IF(D222&lt;F222,"O.K.","N.G.")</f>
        <v>O.K.</v>
      </c>
    </row>
    <row r="223" spans="1:26" ht="15.95" hidden="1" customHeight="1" x14ac:dyDescent="0.15">
      <c r="B223" s="68"/>
      <c r="D223" s="43"/>
    </row>
    <row r="224" spans="1:26" ht="15.95" hidden="1" customHeight="1" x14ac:dyDescent="0.15">
      <c r="A224" s="43"/>
      <c r="B224" s="43"/>
      <c r="C224" s="43"/>
      <c r="D224" s="43"/>
      <c r="E224" s="43"/>
      <c r="F224" s="49"/>
      <c r="G224" s="43"/>
      <c r="H224" s="43"/>
      <c r="I224" s="43"/>
      <c r="J224" s="43"/>
      <c r="K224" s="43"/>
      <c r="L224" s="43"/>
    </row>
    <row r="225" spans="1:26" ht="15.95" hidden="1" customHeight="1" x14ac:dyDescent="0.15">
      <c r="A225" s="43"/>
      <c r="B225" s="43"/>
      <c r="C225" s="43"/>
      <c r="D225" s="43"/>
      <c r="E225" s="43"/>
      <c r="F225" s="43"/>
      <c r="G225" s="43"/>
      <c r="H225" s="43"/>
      <c r="I225" s="43"/>
      <c r="J225" s="43"/>
      <c r="K225" s="43"/>
      <c r="L225" s="43"/>
    </row>
    <row r="226" spans="1:26" ht="15.95" hidden="1" customHeight="1" x14ac:dyDescent="0.15">
      <c r="A226" s="43"/>
      <c r="B226" s="43"/>
      <c r="C226" s="43"/>
      <c r="D226" s="43"/>
      <c r="E226" s="43"/>
      <c r="F226" s="43"/>
      <c r="G226" s="43"/>
      <c r="H226" s="43"/>
      <c r="I226" s="43"/>
      <c r="J226" s="43"/>
      <c r="K226" s="43"/>
      <c r="L226" s="43"/>
      <c r="M226" s="43"/>
      <c r="N226" s="20"/>
    </row>
    <row r="227" spans="1:26" ht="15.95" hidden="1" customHeight="1" x14ac:dyDescent="0.15">
      <c r="B227" s="49"/>
      <c r="D227" s="43"/>
      <c r="M227" s="43"/>
      <c r="N227" s="20"/>
    </row>
    <row r="228" spans="1:26" ht="15.95" hidden="1" customHeight="1" x14ac:dyDescent="0.15">
      <c r="B228" s="49"/>
      <c r="D228" s="43"/>
    </row>
    <row r="229" spans="1:26" ht="15.95" hidden="1" customHeight="1" x14ac:dyDescent="0.15">
      <c r="B229" s="49"/>
      <c r="D229" s="43"/>
    </row>
    <row r="230" spans="1:26" ht="15.95" hidden="1" customHeight="1" x14ac:dyDescent="0.15">
      <c r="B230" s="49"/>
      <c r="D230" s="43"/>
    </row>
    <row r="231" spans="1:26" ht="15.95" hidden="1" customHeight="1" x14ac:dyDescent="0.15">
      <c r="B231" s="77" t="s">
        <v>144</v>
      </c>
    </row>
    <row r="232" spans="1:26" ht="15.95" hidden="1" customHeight="1" x14ac:dyDescent="0.15">
      <c r="B232" s="49"/>
      <c r="D232" s="43"/>
      <c r="V232" s="24"/>
      <c r="X232" s="24"/>
      <c r="Z232" s="24"/>
    </row>
    <row r="233" spans="1:26" ht="15.95" hidden="1" customHeight="1" x14ac:dyDescent="0.15">
      <c r="A233" s="19"/>
      <c r="B233" s="43" t="s">
        <v>409</v>
      </c>
      <c r="C233" s="19"/>
      <c r="D233" s="19"/>
      <c r="E233" s="19"/>
      <c r="F233" s="19"/>
      <c r="G233" s="19"/>
      <c r="H233" s="19"/>
      <c r="I233" s="19"/>
      <c r="J233" s="19"/>
      <c r="K233" s="19"/>
      <c r="L233" s="19"/>
      <c r="V233" s="24"/>
      <c r="X233" s="24"/>
      <c r="Z233" s="24"/>
    </row>
    <row r="234" spans="1:26" s="12" customFormat="1" ht="15.95" hidden="1" customHeight="1" x14ac:dyDescent="0.15">
      <c r="A234" s="24"/>
      <c r="B234" s="77"/>
      <c r="C234" s="24"/>
      <c r="D234" s="38"/>
      <c r="E234" s="24"/>
      <c r="F234" s="24"/>
      <c r="G234" s="24"/>
      <c r="H234" s="24"/>
      <c r="I234" s="24"/>
      <c r="J234" s="24"/>
      <c r="K234" s="24"/>
      <c r="L234" s="24"/>
      <c r="M234" s="19"/>
      <c r="N234" s="37"/>
      <c r="O234" s="37"/>
      <c r="P234" s="46"/>
    </row>
    <row r="235" spans="1:26" ht="15.95" hidden="1" customHeight="1" x14ac:dyDescent="0.15">
      <c r="B235" s="36" t="s">
        <v>410</v>
      </c>
      <c r="C235" s="20" t="s">
        <v>4</v>
      </c>
      <c r="D235" s="172">
        <f>(D14*J44)</f>
        <v>189037.00984174103</v>
      </c>
      <c r="E235" s="43" t="s">
        <v>459</v>
      </c>
      <c r="G235" s="20" t="s">
        <v>9</v>
      </c>
      <c r="H235" s="36" t="s">
        <v>137</v>
      </c>
      <c r="O235" s="118"/>
      <c r="Q235" s="118"/>
      <c r="S235" s="118"/>
      <c r="U235" s="118"/>
      <c r="V235" s="24"/>
      <c r="X235" s="24"/>
      <c r="Z235" s="24"/>
    </row>
    <row r="236" spans="1:26" ht="15.95" hidden="1" customHeight="1" x14ac:dyDescent="0.15">
      <c r="B236" s="35"/>
      <c r="V236" s="24"/>
      <c r="X236" s="24"/>
      <c r="Z236" s="24"/>
    </row>
    <row r="237" spans="1:26" ht="15.95" hidden="1" customHeight="1" x14ac:dyDescent="0.15">
      <c r="B237" s="36" t="s">
        <v>996</v>
      </c>
      <c r="C237" s="20" t="s">
        <v>4</v>
      </c>
      <c r="D237" s="172">
        <f>F44</f>
        <v>10519.146666666667</v>
      </c>
      <c r="E237" s="24" t="s">
        <v>471</v>
      </c>
      <c r="G237" s="20" t="s">
        <v>9</v>
      </c>
      <c r="H237" s="36" t="s">
        <v>138</v>
      </c>
      <c r="V237" s="24"/>
      <c r="X237" s="24"/>
      <c r="Z237" s="24"/>
    </row>
    <row r="238" spans="1:26" ht="15.95" hidden="1" customHeight="1" x14ac:dyDescent="0.15">
      <c r="V238" s="24"/>
      <c r="X238" s="24"/>
      <c r="Z238" s="24"/>
    </row>
    <row r="239" spans="1:26" ht="15.95" hidden="1" customHeight="1" x14ac:dyDescent="0.15">
      <c r="C239" s="20"/>
      <c r="V239" s="24"/>
      <c r="X239" s="24"/>
      <c r="Z239" s="24"/>
    </row>
    <row r="240" spans="1:26" ht="15.95" hidden="1" customHeight="1" x14ac:dyDescent="0.15">
      <c r="B240" s="35" t="s">
        <v>132</v>
      </c>
      <c r="D240" s="28"/>
      <c r="V240" s="24"/>
      <c r="X240" s="24"/>
      <c r="Z240" s="24"/>
    </row>
    <row r="241" spans="2:26" ht="15.95" hidden="1" customHeight="1" x14ac:dyDescent="0.15">
      <c r="V241" s="24"/>
      <c r="X241" s="24"/>
      <c r="Z241" s="24"/>
    </row>
    <row r="242" spans="2:26" ht="15.95" hidden="1" customHeight="1" x14ac:dyDescent="0.15">
      <c r="B242" s="36" t="s">
        <v>411</v>
      </c>
      <c r="C242" s="20" t="s">
        <v>4</v>
      </c>
      <c r="D242" s="36" t="s">
        <v>1129</v>
      </c>
      <c r="V242" s="24"/>
      <c r="X242" s="24"/>
      <c r="Z242" s="24"/>
    </row>
    <row r="243" spans="2:26" ht="15.95" hidden="1" customHeight="1" x14ac:dyDescent="0.15">
      <c r="C243" s="20" t="s">
        <v>4</v>
      </c>
      <c r="D243" s="29">
        <f>(D235/D237)</f>
        <v>17.970755217318739</v>
      </c>
      <c r="E243" s="29" t="s">
        <v>457</v>
      </c>
      <c r="V243" s="24"/>
      <c r="X243" s="24"/>
      <c r="Z243" s="24"/>
    </row>
    <row r="244" spans="2:26" ht="15.95" hidden="1" customHeight="1" x14ac:dyDescent="0.15">
      <c r="V244" s="24"/>
      <c r="X244" s="24"/>
      <c r="Z244" s="24"/>
    </row>
    <row r="245" spans="2:26" ht="15.95" hidden="1" customHeight="1" x14ac:dyDescent="0.15">
      <c r="V245" s="24"/>
      <c r="X245" s="24"/>
      <c r="Z245" s="24"/>
    </row>
    <row r="246" spans="2:26" ht="15.95" hidden="1" customHeight="1" x14ac:dyDescent="0.15">
      <c r="B246" s="35" t="s">
        <v>133</v>
      </c>
      <c r="V246" s="24"/>
      <c r="X246" s="24"/>
      <c r="Z246" s="24"/>
    </row>
    <row r="247" spans="2:26" ht="15.95" hidden="1" customHeight="1" x14ac:dyDescent="0.15">
      <c r="B247" s="35"/>
      <c r="G247" s="20"/>
      <c r="H247" s="36"/>
      <c r="V247" s="24"/>
      <c r="X247" s="24"/>
      <c r="Z247" s="24"/>
    </row>
    <row r="248" spans="2:26" ht="15.95" hidden="1" customHeight="1" x14ac:dyDescent="0.15">
      <c r="B248" s="36" t="s">
        <v>140</v>
      </c>
      <c r="C248" s="20" t="s">
        <v>4</v>
      </c>
      <c r="D248" s="29">
        <v>275</v>
      </c>
      <c r="E248" s="29" t="s">
        <v>457</v>
      </c>
      <c r="G248" s="20" t="s">
        <v>9</v>
      </c>
      <c r="H248" s="36" t="s">
        <v>649</v>
      </c>
      <c r="V248" s="24"/>
      <c r="X248" s="24"/>
      <c r="Z248" s="24"/>
    </row>
    <row r="249" spans="2:26" ht="15.95" hidden="1" customHeight="1" x14ac:dyDescent="0.15">
      <c r="B249" s="36" t="s">
        <v>319</v>
      </c>
      <c r="C249" s="20" t="s">
        <v>4</v>
      </c>
      <c r="D249" s="80" t="s">
        <v>650</v>
      </c>
      <c r="E249" s="36"/>
      <c r="V249" s="24"/>
      <c r="X249" s="24"/>
      <c r="Z249" s="24"/>
    </row>
    <row r="250" spans="2:26" ht="15.95" hidden="1" customHeight="1" x14ac:dyDescent="0.15">
      <c r="B250" s="38"/>
      <c r="C250" s="20" t="s">
        <v>4</v>
      </c>
      <c r="D250" s="29">
        <f>0.66*D248</f>
        <v>181.5</v>
      </c>
      <c r="E250" s="29" t="s">
        <v>457</v>
      </c>
      <c r="V250" s="24"/>
      <c r="X250" s="24"/>
      <c r="Z250" s="24"/>
    </row>
    <row r="251" spans="2:26" ht="15.95" hidden="1" customHeight="1" x14ac:dyDescent="0.15">
      <c r="V251" s="24"/>
      <c r="X251" s="24"/>
      <c r="Z251" s="24"/>
    </row>
    <row r="252" spans="2:26" ht="15.95" hidden="1" customHeight="1" x14ac:dyDescent="0.15">
      <c r="V252" s="24"/>
      <c r="X252" s="24"/>
      <c r="Z252" s="24"/>
    </row>
    <row r="253" spans="2:26" ht="15.95" hidden="1" customHeight="1" x14ac:dyDescent="0.15">
      <c r="B253" s="35" t="s">
        <v>142</v>
      </c>
      <c r="V253" s="24"/>
      <c r="X253" s="24"/>
      <c r="Z253" s="24"/>
    </row>
    <row r="254" spans="2:26" ht="15.95" hidden="1" customHeight="1" x14ac:dyDescent="0.15">
      <c r="B254" s="35"/>
      <c r="V254" s="24"/>
      <c r="X254" s="24"/>
      <c r="Z254" s="24"/>
    </row>
    <row r="255" spans="2:26" ht="15.95" hidden="1" customHeight="1" x14ac:dyDescent="0.15">
      <c r="B255" s="36" t="s">
        <v>143</v>
      </c>
      <c r="C255" s="20" t="s">
        <v>4</v>
      </c>
      <c r="D255" s="38">
        <f>D243/D250</f>
        <v>9.9012425439772664E-2</v>
      </c>
      <c r="E255" s="39" t="str">
        <f>IF(D255&gt;F255,"&gt;","&lt;")</f>
        <v>&lt;</v>
      </c>
      <c r="F255" s="19">
        <v>1</v>
      </c>
      <c r="G255" s="107" t="str">
        <f>IF(D255&lt;F255,"O.K.","N.G.")</f>
        <v>O.K.</v>
      </c>
      <c r="V255" s="24"/>
      <c r="X255" s="24"/>
      <c r="Z255" s="24"/>
    </row>
    <row r="256" spans="2:26" ht="15.95" hidden="1" customHeight="1" x14ac:dyDescent="0.15">
      <c r="C256" s="119"/>
      <c r="D256" s="28"/>
      <c r="F256" s="28"/>
      <c r="V256" s="24"/>
      <c r="X256" s="24"/>
      <c r="Z256" s="24"/>
    </row>
    <row r="257" spans="2:26" ht="15.95" hidden="1" customHeight="1" x14ac:dyDescent="0.15">
      <c r="C257" s="119"/>
      <c r="D257" s="28"/>
      <c r="F257" s="28"/>
      <c r="V257" s="24"/>
      <c r="X257" s="24"/>
      <c r="Z257" s="24"/>
    </row>
    <row r="258" spans="2:26" ht="15.95" hidden="1" customHeight="1" x14ac:dyDescent="0.15">
      <c r="B258" s="40" t="s">
        <v>145</v>
      </c>
      <c r="V258" s="24"/>
      <c r="X258" s="24"/>
      <c r="Z258" s="24"/>
    </row>
    <row r="259" spans="2:26" ht="15.95" hidden="1" customHeight="1" x14ac:dyDescent="0.15"/>
    <row r="260" spans="2:26" ht="15.95" hidden="1" customHeight="1" x14ac:dyDescent="0.15">
      <c r="B260" s="35" t="s">
        <v>147</v>
      </c>
    </row>
    <row r="261" spans="2:26" ht="15.95" hidden="1" customHeight="1" x14ac:dyDescent="0.15">
      <c r="B261" s="35"/>
    </row>
    <row r="262" spans="2:26" ht="15.95" hidden="1" customHeight="1" x14ac:dyDescent="0.15">
      <c r="B262" s="78" t="s">
        <v>120</v>
      </c>
      <c r="C262" s="20" t="s">
        <v>4</v>
      </c>
      <c r="D262" s="24">
        <f>D16</f>
        <v>7.8805965933345865</v>
      </c>
      <c r="E262" s="29" t="s">
        <v>479</v>
      </c>
    </row>
    <row r="263" spans="2:26" ht="15.95" hidden="1" customHeight="1" x14ac:dyDescent="0.15"/>
    <row r="264" spans="2:26" ht="15.95" hidden="1" customHeight="1" x14ac:dyDescent="0.15"/>
    <row r="265" spans="2:26" ht="15.95" hidden="1" customHeight="1" x14ac:dyDescent="0.15">
      <c r="B265" s="35" t="s">
        <v>146</v>
      </c>
      <c r="E265" s="42" t="s">
        <v>150</v>
      </c>
    </row>
    <row r="266" spans="2:26" ht="15.95" hidden="1" customHeight="1" x14ac:dyDescent="0.15">
      <c r="B266" s="35"/>
    </row>
    <row r="267" spans="2:26" ht="15.95" hidden="1" customHeight="1" x14ac:dyDescent="0.15">
      <c r="B267" s="78" t="s">
        <v>2</v>
      </c>
      <c r="C267" s="20" t="s">
        <v>4</v>
      </c>
      <c r="D267" s="167">
        <f>D9</f>
        <v>5000</v>
      </c>
      <c r="E267" s="24" t="str">
        <f>IF(D267&gt;4110,"mm      &gt;     4110 mm","mm     ≤     4110 mm")</f>
        <v>mm      &gt;     4110 mm</v>
      </c>
    </row>
    <row r="268" spans="2:26" ht="15.95" hidden="1" customHeight="1" x14ac:dyDescent="0.15">
      <c r="B268" s="78" t="s">
        <v>148</v>
      </c>
      <c r="C268" s="20" t="s">
        <v>4</v>
      </c>
      <c r="D268" s="177">
        <f>D267</f>
        <v>5000</v>
      </c>
      <c r="E268" s="35" t="str">
        <f>IF(D267&lt;4110,"mm      /     175","mm      /      240 + 6.35 mm ")</f>
        <v xml:space="preserve">mm      /      240 + 6.35 mm </v>
      </c>
      <c r="M268" s="43" t="s">
        <v>151</v>
      </c>
      <c r="N268" s="41">
        <f>D267/240+6.35</f>
        <v>27.18333333333333</v>
      </c>
    </row>
    <row r="269" spans="2:26" ht="15.95" hidden="1" customHeight="1" x14ac:dyDescent="0.15">
      <c r="B269" s="38"/>
      <c r="C269" s="20" t="s">
        <v>4</v>
      </c>
      <c r="D269" s="38">
        <f>IF(D267&gt;4110,N268,N269)</f>
        <v>27.18333333333333</v>
      </c>
      <c r="E269" s="24" t="s">
        <v>468</v>
      </c>
      <c r="M269" s="43" t="s">
        <v>152</v>
      </c>
      <c r="N269" s="41">
        <f>D267/175</f>
        <v>28.571428571428573</v>
      </c>
    </row>
    <row r="270" spans="2:26" ht="15.95" hidden="1" customHeight="1" x14ac:dyDescent="0.15"/>
    <row r="271" spans="2:26" ht="15.95" hidden="1" customHeight="1" x14ac:dyDescent="0.15"/>
    <row r="272" spans="2:26" ht="15.95" hidden="1" customHeight="1" x14ac:dyDescent="0.15">
      <c r="B272" s="35" t="s">
        <v>153</v>
      </c>
    </row>
    <row r="273" spans="1:26" ht="15.95" hidden="1" customHeight="1" x14ac:dyDescent="0.15">
      <c r="A273" s="43"/>
      <c r="B273" s="20"/>
      <c r="C273" s="43"/>
      <c r="D273" s="43"/>
      <c r="E273" s="43"/>
      <c r="F273" s="43"/>
      <c r="G273" s="43"/>
      <c r="H273" s="43"/>
      <c r="I273" s="43"/>
      <c r="J273" s="43"/>
      <c r="K273" s="43"/>
      <c r="L273" s="43"/>
    </row>
    <row r="274" spans="1:26" s="20" customFormat="1" ht="15.95" hidden="1" customHeight="1" x14ac:dyDescent="0.15">
      <c r="A274" s="24"/>
      <c r="B274" s="36" t="s">
        <v>359</v>
      </c>
      <c r="C274" s="20" t="s">
        <v>4</v>
      </c>
      <c r="D274" s="38">
        <f>D262/(D269)</f>
        <v>0.28990545407729934</v>
      </c>
      <c r="E274" s="39" t="str">
        <f>IF(D274&gt;F274,"&gt;","&lt;")</f>
        <v>&lt;</v>
      </c>
      <c r="F274" s="19">
        <v>1</v>
      </c>
      <c r="G274" s="107" t="str">
        <f>IF(D274&lt;F274,"O.K.","N.G.")</f>
        <v>O.K.</v>
      </c>
      <c r="I274" s="43"/>
      <c r="J274" s="43"/>
      <c r="K274" s="43"/>
      <c r="L274" s="43"/>
      <c r="M274" s="43"/>
      <c r="O274" s="24"/>
      <c r="P274" s="24"/>
      <c r="Q274" s="24"/>
      <c r="R274" s="24"/>
      <c r="S274" s="24"/>
      <c r="T274" s="24"/>
      <c r="U274" s="24"/>
      <c r="V274" s="38"/>
      <c r="X274" s="38"/>
      <c r="Z274" s="38"/>
    </row>
    <row r="275" spans="1:26" s="20" customFormat="1" ht="15.95" hidden="1" customHeight="1" x14ac:dyDescent="0.15">
      <c r="A275" s="24"/>
      <c r="B275" s="24"/>
      <c r="C275" s="24"/>
      <c r="D275" s="24"/>
      <c r="E275" s="24"/>
      <c r="F275" s="24"/>
      <c r="G275" s="24"/>
      <c r="H275" s="24"/>
      <c r="I275" s="24"/>
      <c r="J275" s="24"/>
      <c r="K275" s="24"/>
      <c r="L275" s="24"/>
      <c r="M275" s="43"/>
      <c r="O275" s="24"/>
      <c r="P275" s="24"/>
      <c r="Q275" s="24"/>
      <c r="R275" s="24"/>
      <c r="S275" s="24"/>
      <c r="T275" s="24"/>
      <c r="U275" s="24"/>
      <c r="V275" s="38"/>
      <c r="X275" s="38"/>
      <c r="Z275" s="38"/>
    </row>
  </sheetData>
  <sheetProtection algorithmName="SHA-512" hashValue="YPIIItsGBBc6Mo8SECFeqjp2P7uYajz6A/R3rPFvPFj3VYE0rqfyp03mFjTv3wuKeeMpOmTmdzuFO35e6PqQ0w==" saltValue="SrgXCruwrGgS+o2WUJMy7Q==" spinCount="100000" sheet="1" objects="1" scenarios="1" selectLockedCells="1"/>
  <protectedRanges>
    <protectedRange sqref="D7:D10" name="범위1_2_1"/>
    <protectedRange sqref="D12" name="범위1_2_2"/>
  </protectedRanges>
  <mergeCells count="10">
    <mergeCell ref="Q206:R206"/>
    <mergeCell ref="S206:U206"/>
    <mergeCell ref="D214:E214"/>
    <mergeCell ref="N13:N14"/>
    <mergeCell ref="O13:O14"/>
    <mergeCell ref="Q189:R189"/>
    <mergeCell ref="S189:U189"/>
    <mergeCell ref="Q198:R198"/>
    <mergeCell ref="S198:U198"/>
    <mergeCell ref="B46:K46"/>
  </mergeCells>
  <phoneticPr fontId="2" type="noConversion"/>
  <pageMargins left="0.51181102362204722" right="0.51181102362204722" top="0.78740157480314965" bottom="0.59055118110236227" header="0.39370078740157483" footer="0.39370078740157483"/>
  <pageSetup paperSize="9" orientation="portrait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D9BB3D-B1AE-4455-BD71-EEBA1392BA9F}">
  <sheetPr codeName="Sheet22">
    <tabColor rgb="FFC00000"/>
  </sheetPr>
  <dimension ref="A1:U135"/>
  <sheetViews>
    <sheetView view="pageBreakPreview" zoomScale="75" zoomScaleNormal="100" zoomScaleSheetLayoutView="75" workbookViewId="0">
      <selection activeCell="M1" sqref="M1"/>
    </sheetView>
  </sheetViews>
  <sheetFormatPr defaultRowHeight="15.95" customHeight="1" x14ac:dyDescent="0.15"/>
  <cols>
    <col min="1" max="1" width="2.77734375" style="24" customWidth="1"/>
    <col min="2" max="2" width="7.33203125" style="24" customWidth="1"/>
    <col min="3" max="3" width="5.33203125" style="24" customWidth="1"/>
    <col min="4" max="4" width="9.33203125" style="24" customWidth="1"/>
    <col min="5" max="5" width="5.33203125" style="24" customWidth="1"/>
    <col min="6" max="6" width="9.33203125" style="24" customWidth="1"/>
    <col min="7" max="8" width="7.33203125" style="24" customWidth="1"/>
    <col min="9" max="9" width="5.33203125" style="24" customWidth="1"/>
    <col min="10" max="10" width="9.33203125" style="24" customWidth="1"/>
    <col min="11" max="11" width="7.33203125" style="24" customWidth="1"/>
    <col min="12" max="12" width="2.77734375" style="24" customWidth="1"/>
    <col min="13" max="13" width="6.77734375" style="24" customWidth="1"/>
    <col min="14" max="14" width="9.21875" style="24" customWidth="1"/>
    <col min="15" max="15" width="14.6640625" style="24" customWidth="1"/>
    <col min="16" max="16" width="12.21875" style="24" customWidth="1"/>
    <col min="17" max="17" width="6.77734375" style="24" customWidth="1"/>
    <col min="18" max="18" width="8.77734375" style="24" customWidth="1"/>
    <col min="19" max="20" width="6.77734375" style="24" customWidth="1"/>
    <col min="21" max="21" width="9.77734375" style="24" customWidth="1"/>
    <col min="22" max="16384" width="8.88671875" style="24"/>
  </cols>
  <sheetData>
    <row r="1" spans="1:18" ht="15.95" customHeight="1" x14ac:dyDescent="0.15">
      <c r="A1" s="76" t="s">
        <v>507</v>
      </c>
      <c r="M1" s="577">
        <v>1</v>
      </c>
    </row>
    <row r="2" spans="1:18" ht="15.95" customHeight="1" x14ac:dyDescent="0.15">
      <c r="M2" s="186">
        <v>1</v>
      </c>
      <c r="N2" s="348">
        <v>210000</v>
      </c>
      <c r="O2" s="349" t="s">
        <v>883</v>
      </c>
      <c r="P2" s="335"/>
    </row>
    <row r="3" spans="1:18" ht="15.95" customHeight="1" x14ac:dyDescent="0.15">
      <c r="B3" s="77" t="s">
        <v>58</v>
      </c>
      <c r="F3" s="347"/>
      <c r="M3" s="186">
        <v>2</v>
      </c>
      <c r="N3" s="348">
        <v>193000</v>
      </c>
      <c r="O3" s="349" t="s">
        <v>884</v>
      </c>
      <c r="P3" s="335"/>
    </row>
    <row r="5" spans="1:18" ht="15.95" customHeight="1" x14ac:dyDescent="0.15">
      <c r="B5" s="78" t="s">
        <v>994</v>
      </c>
      <c r="C5" s="20" t="s">
        <v>4</v>
      </c>
      <c r="D5" s="443">
        <f>지진하중!E37</f>
        <v>0.15317866666666669</v>
      </c>
      <c r="E5" s="43" t="s">
        <v>456</v>
      </c>
      <c r="H5" s="36" t="s">
        <v>997</v>
      </c>
      <c r="M5" s="38"/>
      <c r="N5" s="38"/>
      <c r="O5" s="38"/>
      <c r="P5" s="38"/>
      <c r="Q5" s="38"/>
      <c r="R5" s="38"/>
    </row>
    <row r="6" spans="1:18" ht="15.95" customHeight="1" x14ac:dyDescent="0.15">
      <c r="B6" s="78" t="s">
        <v>67</v>
      </c>
      <c r="C6" s="20" t="s">
        <v>4</v>
      </c>
      <c r="D6" s="167">
        <f>IF(M1=M2,N2,N3)</f>
        <v>210000</v>
      </c>
      <c r="E6" s="43" t="s">
        <v>457</v>
      </c>
      <c r="H6" s="36" t="str">
        <f>IF(M1=M2,O2,O3)</f>
        <v>( Modulus of Elasticity , SS 275 )</v>
      </c>
      <c r="I6" s="43"/>
      <c r="M6" s="38"/>
      <c r="N6" s="38"/>
      <c r="O6" s="38"/>
      <c r="P6" s="38"/>
      <c r="Q6" s="38"/>
      <c r="R6" s="38"/>
    </row>
    <row r="7" spans="1:18" ht="15.95" customHeight="1" x14ac:dyDescent="0.15">
      <c r="B7" s="78" t="s">
        <v>60</v>
      </c>
      <c r="C7" s="20" t="s">
        <v>4</v>
      </c>
      <c r="D7" s="560">
        <v>1200</v>
      </c>
      <c r="E7" s="43" t="s">
        <v>458</v>
      </c>
      <c r="H7" s="36" t="s">
        <v>70</v>
      </c>
      <c r="M7" s="38"/>
      <c r="N7" s="38"/>
      <c r="O7" s="38"/>
      <c r="P7" s="38"/>
      <c r="Q7" s="38"/>
      <c r="R7" s="38"/>
    </row>
    <row r="8" spans="1:18" ht="15.95" customHeight="1" x14ac:dyDescent="0.15">
      <c r="B8" s="78" t="s">
        <v>61</v>
      </c>
      <c r="C8" s="20" t="s">
        <v>4</v>
      </c>
      <c r="D8" s="560">
        <v>1200</v>
      </c>
      <c r="E8" s="43" t="s">
        <v>458</v>
      </c>
      <c r="H8" s="36" t="s">
        <v>71</v>
      </c>
      <c r="M8" s="38"/>
      <c r="N8" s="38"/>
      <c r="O8" s="38"/>
      <c r="P8" s="38"/>
      <c r="Q8" s="38"/>
      <c r="R8" s="38"/>
    </row>
    <row r="9" spans="1:18" ht="15.95" customHeight="1" x14ac:dyDescent="0.15">
      <c r="B9" s="80" t="s">
        <v>392</v>
      </c>
      <c r="C9" s="20" t="s">
        <v>4</v>
      </c>
      <c r="D9" s="560">
        <v>5000</v>
      </c>
      <c r="E9" s="43" t="s">
        <v>458</v>
      </c>
      <c r="H9" s="36" t="s">
        <v>401</v>
      </c>
      <c r="I9" s="43"/>
      <c r="M9" s="38"/>
      <c r="N9" s="38"/>
      <c r="O9" s="38"/>
      <c r="P9" s="38"/>
      <c r="Q9" s="38"/>
      <c r="R9" s="38"/>
    </row>
    <row r="10" spans="1:18" ht="15.95" customHeight="1" x14ac:dyDescent="0.15">
      <c r="B10" s="80" t="s">
        <v>393</v>
      </c>
      <c r="C10" s="20" t="s">
        <v>4</v>
      </c>
      <c r="D10" s="560">
        <v>2600</v>
      </c>
      <c r="E10" s="43" t="s">
        <v>458</v>
      </c>
      <c r="H10" s="36" t="s">
        <v>72</v>
      </c>
      <c r="M10" s="38"/>
      <c r="N10" s="446"/>
      <c r="O10" s="38"/>
      <c r="P10" s="38"/>
      <c r="Q10" s="38"/>
      <c r="R10" s="38"/>
    </row>
    <row r="11" spans="1:18" ht="15.95" customHeight="1" x14ac:dyDescent="0.15">
      <c r="M11" s="38"/>
      <c r="N11" s="38"/>
      <c r="O11" s="38"/>
      <c r="P11" s="38"/>
      <c r="Q11" s="38"/>
      <c r="R11" s="38"/>
    </row>
    <row r="12" spans="1:18" ht="15.95" customHeight="1" x14ac:dyDescent="0.15">
      <c r="M12" s="38"/>
      <c r="N12" s="38"/>
      <c r="O12" s="38"/>
      <c r="P12" s="38"/>
      <c r="Q12" s="38"/>
      <c r="R12" s="38"/>
    </row>
    <row r="13" spans="1:18" ht="15.95" customHeight="1" x14ac:dyDescent="0.15">
      <c r="M13" s="38"/>
      <c r="N13" s="38"/>
      <c r="O13" s="38"/>
      <c r="P13" s="38"/>
      <c r="Q13" s="38"/>
      <c r="R13" s="38"/>
    </row>
    <row r="14" spans="1:18" ht="15.95" customHeight="1" x14ac:dyDescent="0.15">
      <c r="B14" s="36" t="s">
        <v>65</v>
      </c>
      <c r="C14" s="20" t="s">
        <v>4</v>
      </c>
      <c r="D14" s="172">
        <f>D84</f>
        <v>402094.00000000006</v>
      </c>
      <c r="E14" s="43" t="s">
        <v>497</v>
      </c>
      <c r="F14" s="36"/>
      <c r="H14" s="162" t="s">
        <v>66</v>
      </c>
      <c r="I14" s="20" t="s">
        <v>4</v>
      </c>
      <c r="J14" s="108">
        <f>D114</f>
        <v>0.21060586087407021</v>
      </c>
      <c r="K14" s="83" t="str">
        <f>IF(J14&lt;1,"O.K","N.G")</f>
        <v>O.K</v>
      </c>
      <c r="M14" s="38"/>
      <c r="N14" s="38"/>
      <c r="O14" s="38"/>
      <c r="P14" s="38"/>
      <c r="Q14" s="38"/>
      <c r="R14" s="38"/>
    </row>
    <row r="15" spans="1:18" ht="15.95" customHeight="1" x14ac:dyDescent="0.15">
      <c r="M15" s="38"/>
      <c r="N15" s="38"/>
      <c r="O15" s="38"/>
      <c r="P15" s="38"/>
      <c r="Q15" s="38"/>
      <c r="R15" s="38"/>
    </row>
    <row r="16" spans="1:18" ht="15.95" customHeight="1" x14ac:dyDescent="0.15">
      <c r="B16" s="36" t="s">
        <v>120</v>
      </c>
      <c r="C16" s="20" t="s">
        <v>4</v>
      </c>
      <c r="D16" s="79">
        <f>D87</f>
        <v>18.960795510239954</v>
      </c>
      <c r="E16" s="43" t="s">
        <v>458</v>
      </c>
      <c r="F16" s="36"/>
      <c r="M16" s="38"/>
      <c r="N16" s="38"/>
      <c r="O16" s="38"/>
      <c r="P16" s="38"/>
      <c r="Q16" s="38"/>
      <c r="R16" s="38"/>
    </row>
    <row r="17" spans="2:18" ht="15.95" customHeight="1" x14ac:dyDescent="0.15">
      <c r="B17" s="36" t="s">
        <v>484</v>
      </c>
      <c r="C17" s="20" t="s">
        <v>4</v>
      </c>
      <c r="D17" s="79">
        <f>D128</f>
        <v>27.18333333333333</v>
      </c>
      <c r="E17" s="43" t="s">
        <v>458</v>
      </c>
      <c r="H17" s="80" t="s">
        <v>68</v>
      </c>
      <c r="I17" s="20" t="s">
        <v>4</v>
      </c>
      <c r="J17" s="108">
        <f>D133</f>
        <v>0.69751546941410014</v>
      </c>
      <c r="K17" s="83" t="str">
        <f>IF(J17&lt;1,"O.K","N.G")</f>
        <v>O.K</v>
      </c>
      <c r="M17" s="38"/>
      <c r="N17" s="38"/>
      <c r="O17" s="38"/>
      <c r="P17" s="38"/>
      <c r="Q17" s="38"/>
      <c r="R17" s="38"/>
    </row>
    <row r="19" spans="2:18" ht="15.95" customHeight="1" x14ac:dyDescent="0.15">
      <c r="B19" s="78"/>
      <c r="C19" s="82"/>
      <c r="D19" s="20"/>
    </row>
    <row r="20" spans="2:18" ht="15.95" customHeight="1" x14ac:dyDescent="0.15">
      <c r="B20" s="77" t="s">
        <v>78</v>
      </c>
      <c r="E20" s="49"/>
    </row>
    <row r="21" spans="2:18" ht="15.95" customHeight="1" thickBot="1" x14ac:dyDescent="0.2">
      <c r="K21" s="81"/>
      <c r="L21" s="81"/>
    </row>
    <row r="22" spans="2:18" ht="15.95" customHeight="1" x14ac:dyDescent="0.15">
      <c r="B22" s="739"/>
      <c r="C22" s="696"/>
      <c r="D22" s="696"/>
      <c r="E22" s="697"/>
      <c r="F22" s="47"/>
      <c r="G22" s="138"/>
      <c r="H22" s="139"/>
      <c r="I22" s="139"/>
      <c r="J22" s="139"/>
      <c r="K22" s="140"/>
    </row>
    <row r="23" spans="2:18" ht="15.95" customHeight="1" x14ac:dyDescent="0.15">
      <c r="B23" s="740"/>
      <c r="C23" s="698"/>
      <c r="D23" s="698"/>
      <c r="E23" s="699"/>
      <c r="F23" s="47"/>
      <c r="G23" s="91"/>
      <c r="K23" s="110"/>
    </row>
    <row r="24" spans="2:18" ht="15.95" customHeight="1" x14ac:dyDescent="0.15">
      <c r="B24" s="740"/>
      <c r="C24" s="698"/>
      <c r="D24" s="698"/>
      <c r="E24" s="699"/>
      <c r="F24" s="47"/>
      <c r="G24" s="91"/>
      <c r="K24" s="110"/>
    </row>
    <row r="25" spans="2:18" ht="15.95" customHeight="1" x14ac:dyDescent="0.15">
      <c r="B25" s="740"/>
      <c r="C25" s="698"/>
      <c r="D25" s="698"/>
      <c r="E25" s="699"/>
      <c r="F25" s="47"/>
      <c r="G25" s="91"/>
      <c r="K25" s="110"/>
    </row>
    <row r="26" spans="2:18" ht="15.95" customHeight="1" x14ac:dyDescent="0.15">
      <c r="B26" s="740"/>
      <c r="C26" s="698"/>
      <c r="D26" s="698"/>
      <c r="E26" s="699"/>
      <c r="F26" s="47"/>
      <c r="G26" s="91"/>
      <c r="K26" s="110"/>
    </row>
    <row r="27" spans="2:18" ht="15.95" customHeight="1" x14ac:dyDescent="0.15">
      <c r="B27" s="740"/>
      <c r="C27" s="698"/>
      <c r="D27" s="698"/>
      <c r="E27" s="699"/>
      <c r="F27" s="47"/>
      <c r="G27" s="91"/>
      <c r="K27" s="110"/>
    </row>
    <row r="28" spans="2:18" ht="15.95" customHeight="1" x14ac:dyDescent="0.15">
      <c r="B28" s="740"/>
      <c r="C28" s="698"/>
      <c r="D28" s="698"/>
      <c r="E28" s="699"/>
      <c r="F28" s="47"/>
      <c r="G28" s="91"/>
      <c r="K28" s="110"/>
    </row>
    <row r="29" spans="2:18" ht="15.95" customHeight="1" x14ac:dyDescent="0.15">
      <c r="B29" s="740"/>
      <c r="C29" s="698"/>
      <c r="D29" s="698"/>
      <c r="E29" s="699"/>
      <c r="F29" s="47"/>
      <c r="G29" s="91"/>
      <c r="K29" s="110"/>
    </row>
    <row r="30" spans="2:18" ht="15.95" customHeight="1" x14ac:dyDescent="0.15">
      <c r="B30" s="740"/>
      <c r="C30" s="698"/>
      <c r="D30" s="698"/>
      <c r="E30" s="699"/>
      <c r="F30" s="47"/>
      <c r="G30" s="91"/>
      <c r="K30" s="110"/>
    </row>
    <row r="31" spans="2:18" ht="15.95" customHeight="1" x14ac:dyDescent="0.15">
      <c r="B31" s="740"/>
      <c r="C31" s="698"/>
      <c r="D31" s="698"/>
      <c r="E31" s="699"/>
      <c r="F31" s="47"/>
      <c r="G31" s="91"/>
      <c r="K31" s="110"/>
    </row>
    <row r="32" spans="2:18" ht="15.95" customHeight="1" x14ac:dyDescent="0.15">
      <c r="B32" s="740"/>
      <c r="C32" s="698"/>
      <c r="D32" s="698"/>
      <c r="E32" s="699"/>
      <c r="F32" s="47"/>
      <c r="G32" s="91"/>
      <c r="K32" s="110"/>
    </row>
    <row r="33" spans="1:21" ht="15.95" customHeight="1" x14ac:dyDescent="0.15">
      <c r="B33" s="740"/>
      <c r="C33" s="698"/>
      <c r="D33" s="698"/>
      <c r="E33" s="699"/>
      <c r="F33" s="47"/>
      <c r="G33" s="91"/>
      <c r="K33" s="110"/>
    </row>
    <row r="34" spans="1:21" ht="15.95" customHeight="1" x14ac:dyDescent="0.15">
      <c r="B34" s="91"/>
      <c r="E34" s="110"/>
      <c r="F34" s="47"/>
      <c r="G34" s="91"/>
      <c r="K34" s="110"/>
    </row>
    <row r="35" spans="1:21" ht="15.95" customHeight="1" x14ac:dyDescent="0.15">
      <c r="B35" s="111" t="str">
        <f>CONCATENATE("  * B - ",D37," × ",D38," × ",D39," × ",D40)</f>
        <v xml:space="preserve">  * B - 100 × 50 × 2 × 2</v>
      </c>
      <c r="E35" s="110"/>
      <c r="F35" s="47"/>
      <c r="G35" s="91"/>
      <c r="K35" s="110"/>
    </row>
    <row r="36" spans="1:21" ht="15.95" customHeight="1" x14ac:dyDescent="0.15">
      <c r="B36" s="91"/>
      <c r="E36" s="110"/>
      <c r="F36" s="47"/>
      <c r="G36" s="91"/>
      <c r="K36" s="110"/>
    </row>
    <row r="37" spans="1:21" ht="15.95" customHeight="1" x14ac:dyDescent="0.15">
      <c r="B37" s="71" t="s">
        <v>73</v>
      </c>
      <c r="C37" s="20" t="s">
        <v>4</v>
      </c>
      <c r="D37" s="565">
        <v>100</v>
      </c>
      <c r="E37" s="86" t="s">
        <v>468</v>
      </c>
      <c r="F37" s="47"/>
      <c r="G37" s="91"/>
      <c r="K37" s="110"/>
    </row>
    <row r="38" spans="1:21" ht="15.95" customHeight="1" x14ac:dyDescent="0.15">
      <c r="B38" s="71" t="s">
        <v>46</v>
      </c>
      <c r="C38" s="20" t="s">
        <v>4</v>
      </c>
      <c r="D38" s="565">
        <v>50</v>
      </c>
      <c r="E38" s="86" t="s">
        <v>468</v>
      </c>
      <c r="F38" s="47"/>
      <c r="G38" s="91"/>
      <c r="K38" s="110"/>
    </row>
    <row r="39" spans="1:21" ht="15.95" customHeight="1" x14ac:dyDescent="0.15">
      <c r="B39" s="71" t="s">
        <v>74</v>
      </c>
      <c r="C39" s="20" t="s">
        <v>4</v>
      </c>
      <c r="D39" s="565">
        <v>2</v>
      </c>
      <c r="E39" s="86" t="s">
        <v>468</v>
      </c>
      <c r="F39" s="47"/>
      <c r="G39" s="91"/>
      <c r="K39" s="110"/>
      <c r="L39" s="81"/>
    </row>
    <row r="40" spans="1:21" ht="15.95" customHeight="1" x14ac:dyDescent="0.15">
      <c r="B40" s="71" t="s">
        <v>75</v>
      </c>
      <c r="C40" s="20" t="s">
        <v>4</v>
      </c>
      <c r="D40" s="565">
        <v>2</v>
      </c>
      <c r="E40" s="86" t="s">
        <v>468</v>
      </c>
      <c r="F40" s="47"/>
      <c r="G40" s="91"/>
      <c r="K40" s="110"/>
      <c r="L40" s="81"/>
      <c r="M40" s="81"/>
      <c r="N40" s="112" t="s">
        <v>83</v>
      </c>
      <c r="O40" s="31" t="s">
        <v>4</v>
      </c>
      <c r="P40" s="113">
        <f>D37*D38-D41*D42</f>
        <v>584</v>
      </c>
      <c r="Q40" s="114" t="s">
        <v>504</v>
      </c>
      <c r="U40" s="44"/>
    </row>
    <row r="41" spans="1:21" ht="15.95" customHeight="1" x14ac:dyDescent="0.15">
      <c r="B41" s="71" t="s">
        <v>76</v>
      </c>
      <c r="C41" s="20" t="s">
        <v>4</v>
      </c>
      <c r="D41" s="23">
        <f>D37-2*D40</f>
        <v>96</v>
      </c>
      <c r="E41" s="86" t="s">
        <v>468</v>
      </c>
      <c r="F41" s="47"/>
      <c r="G41" s="91"/>
      <c r="K41" s="110"/>
      <c r="L41" s="81"/>
      <c r="M41" s="81"/>
      <c r="N41" s="112" t="s">
        <v>81</v>
      </c>
      <c r="O41" s="31" t="s">
        <v>4</v>
      </c>
      <c r="P41" s="115" t="s">
        <v>80</v>
      </c>
      <c r="Q41" s="114"/>
      <c r="U41" s="44"/>
    </row>
    <row r="42" spans="1:21" ht="15.95" customHeight="1" x14ac:dyDescent="0.15">
      <c r="B42" s="71" t="s">
        <v>77</v>
      </c>
      <c r="C42" s="20" t="s">
        <v>4</v>
      </c>
      <c r="D42" s="23">
        <f>D38-2*D39</f>
        <v>46</v>
      </c>
      <c r="E42" s="86" t="s">
        <v>468</v>
      </c>
      <c r="F42" s="47"/>
      <c r="G42" s="91"/>
      <c r="K42" s="110"/>
      <c r="L42" s="81"/>
      <c r="M42" s="81"/>
      <c r="N42" s="116"/>
      <c r="O42" s="31" t="s">
        <v>4</v>
      </c>
      <c r="P42" s="117">
        <f>D42/D40</f>
        <v>23</v>
      </c>
      <c r="Q42" s="114"/>
      <c r="U42" s="44"/>
    </row>
    <row r="43" spans="1:21" ht="15.95" customHeight="1" x14ac:dyDescent="0.15">
      <c r="B43" s="71" t="s">
        <v>6</v>
      </c>
      <c r="C43" s="20" t="s">
        <v>4</v>
      </c>
      <c r="D43" s="176">
        <f>(D37*D38^3-D41*D42^3)/12</f>
        <v>262978.66666666669</v>
      </c>
      <c r="E43" s="86" t="s">
        <v>469</v>
      </c>
      <c r="F43" s="47"/>
      <c r="G43" s="91"/>
      <c r="K43" s="110"/>
      <c r="L43" s="81"/>
      <c r="M43" s="81"/>
      <c r="N43" s="112" t="s">
        <v>82</v>
      </c>
      <c r="O43" s="31" t="s">
        <v>4</v>
      </c>
      <c r="P43" s="115" t="s">
        <v>79</v>
      </c>
      <c r="Q43" s="114"/>
      <c r="U43" s="44"/>
    </row>
    <row r="44" spans="1:21" ht="15.95" customHeight="1" thickBot="1" x14ac:dyDescent="0.2">
      <c r="B44" s="87" t="s">
        <v>38</v>
      </c>
      <c r="C44" s="33" t="s">
        <v>4</v>
      </c>
      <c r="D44" s="183">
        <f>D43/(D38/2)</f>
        <v>10519.146666666667</v>
      </c>
      <c r="E44" s="88" t="s">
        <v>470</v>
      </c>
      <c r="F44" s="47"/>
      <c r="G44" s="94"/>
      <c r="H44" s="93"/>
      <c r="I44" s="93"/>
      <c r="J44" s="93"/>
      <c r="K44" s="141"/>
      <c r="L44" s="81"/>
      <c r="M44" s="81"/>
      <c r="N44" s="116"/>
      <c r="O44" s="31" t="s">
        <v>4</v>
      </c>
      <c r="P44" s="117">
        <f>D41/D39</f>
        <v>48</v>
      </c>
      <c r="Q44" s="114"/>
      <c r="U44" s="44"/>
    </row>
    <row r="45" spans="1:21" ht="15.95" customHeight="1" x14ac:dyDescent="0.15">
      <c r="B45" s="47"/>
      <c r="C45" s="47"/>
      <c r="D45" s="47"/>
      <c r="E45" s="47"/>
      <c r="F45" s="47"/>
      <c r="L45" s="81"/>
      <c r="U45" s="44"/>
    </row>
    <row r="46" spans="1:21" ht="15.95" customHeight="1" x14ac:dyDescent="0.15">
      <c r="B46" s="708" t="s">
        <v>1000</v>
      </c>
      <c r="C46" s="708"/>
      <c r="D46" s="708"/>
      <c r="E46" s="708"/>
      <c r="F46" s="708"/>
      <c r="G46" s="708"/>
      <c r="H46" s="708"/>
      <c r="I46" s="708"/>
      <c r="J46" s="708"/>
      <c r="K46" s="708"/>
      <c r="L46" s="81"/>
    </row>
    <row r="47" spans="1:21" s="12" customFormat="1" ht="15.95" hidden="1" customHeight="1" x14ac:dyDescent="0.15">
      <c r="A47" s="129"/>
      <c r="B47" s="129" t="s">
        <v>384</v>
      </c>
    </row>
    <row r="48" spans="1:21" s="12" customFormat="1" ht="15.95" hidden="1" customHeight="1" x14ac:dyDescent="0.15"/>
    <row r="49" spans="1:9" s="12" customFormat="1" ht="15.95" hidden="1" customHeight="1" x14ac:dyDescent="0.15">
      <c r="B49" s="130"/>
    </row>
    <row r="50" spans="1:9" s="12" customFormat="1" ht="15.95" hidden="1" customHeight="1" x14ac:dyDescent="0.15">
      <c r="A50" s="131"/>
    </row>
    <row r="51" spans="1:9" s="12" customFormat="1" ht="15.95" hidden="1" customHeight="1" x14ac:dyDescent="0.15">
      <c r="A51" s="131"/>
    </row>
    <row r="52" spans="1:9" s="12" customFormat="1" ht="15.95" hidden="1" customHeight="1" x14ac:dyDescent="0.15">
      <c r="A52" s="131"/>
    </row>
    <row r="53" spans="1:9" s="12" customFormat="1" ht="15.95" hidden="1" customHeight="1" x14ac:dyDescent="0.15">
      <c r="A53" s="131"/>
    </row>
    <row r="54" spans="1:9" s="12" customFormat="1" ht="15.95" hidden="1" customHeight="1" x14ac:dyDescent="0.15">
      <c r="A54" s="131"/>
      <c r="G54" s="36"/>
    </row>
    <row r="55" spans="1:9" s="12" customFormat="1" ht="15.95" hidden="1" customHeight="1" x14ac:dyDescent="0.15">
      <c r="A55" s="131"/>
      <c r="G55" s="98"/>
    </row>
    <row r="56" spans="1:9" s="12" customFormat="1" ht="15.95" hidden="1" customHeight="1" x14ac:dyDescent="0.15">
      <c r="A56" s="131"/>
      <c r="G56" s="36"/>
    </row>
    <row r="57" spans="1:9" s="12" customFormat="1" ht="15.95" hidden="1" customHeight="1" x14ac:dyDescent="0.15">
      <c r="A57" s="131"/>
      <c r="G57" s="36"/>
    </row>
    <row r="58" spans="1:9" s="12" customFormat="1" ht="15.95" hidden="1" customHeight="1" x14ac:dyDescent="0.15">
      <c r="A58" s="131"/>
      <c r="G58" s="36"/>
      <c r="I58" s="131"/>
    </row>
    <row r="59" spans="1:9" s="12" customFormat="1" ht="15.95" hidden="1" customHeight="1" x14ac:dyDescent="0.15">
      <c r="B59" s="24" t="s">
        <v>91</v>
      </c>
      <c r="G59" s="36"/>
    </row>
    <row r="60" spans="1:9" s="12" customFormat="1" ht="15.95" hidden="1" customHeight="1" x14ac:dyDescent="0.15">
      <c r="G60" s="78"/>
    </row>
    <row r="61" spans="1:9" s="12" customFormat="1" ht="15.95" hidden="1" customHeight="1" x14ac:dyDescent="0.15">
      <c r="B61" s="36" t="s">
        <v>85</v>
      </c>
      <c r="C61" s="20" t="s">
        <v>4</v>
      </c>
      <c r="D61" s="36" t="s">
        <v>86</v>
      </c>
      <c r="E61" s="20" t="s">
        <v>4</v>
      </c>
      <c r="F61" s="36" t="s">
        <v>388</v>
      </c>
      <c r="G61" s="20" t="s">
        <v>9</v>
      </c>
      <c r="H61" s="36" t="s">
        <v>101</v>
      </c>
      <c r="I61" s="36"/>
    </row>
    <row r="62" spans="1:9" s="12" customFormat="1" ht="15.95" hidden="1" customHeight="1" x14ac:dyDescent="0.15">
      <c r="B62" s="36" t="s">
        <v>385</v>
      </c>
      <c r="C62" s="20" t="s">
        <v>4</v>
      </c>
      <c r="D62" s="36" t="s">
        <v>389</v>
      </c>
      <c r="E62" s="20" t="s">
        <v>4</v>
      </c>
      <c r="F62" s="36" t="s">
        <v>388</v>
      </c>
      <c r="G62" s="20" t="s">
        <v>9</v>
      </c>
      <c r="H62" s="36" t="s">
        <v>386</v>
      </c>
      <c r="I62" s="36"/>
    </row>
    <row r="63" spans="1:9" s="12" customFormat="1" ht="15.95" hidden="1" customHeight="1" x14ac:dyDescent="0.15">
      <c r="B63" s="36" t="s">
        <v>65</v>
      </c>
      <c r="C63" s="20" t="s">
        <v>4</v>
      </c>
      <c r="D63" s="36" t="s">
        <v>387</v>
      </c>
      <c r="E63" s="36"/>
      <c r="G63" s="20" t="s">
        <v>9</v>
      </c>
      <c r="H63" s="36" t="s">
        <v>102</v>
      </c>
      <c r="I63" s="36"/>
    </row>
    <row r="64" spans="1:9" s="12" customFormat="1" ht="15.95" hidden="1" customHeight="1" x14ac:dyDescent="0.15">
      <c r="B64" s="78" t="s">
        <v>120</v>
      </c>
      <c r="C64" s="20" t="s">
        <v>4</v>
      </c>
      <c r="D64" s="36" t="s">
        <v>390</v>
      </c>
      <c r="E64" s="36"/>
      <c r="G64" s="20" t="s">
        <v>9</v>
      </c>
      <c r="H64" s="36" t="s">
        <v>103</v>
      </c>
      <c r="I64" s="36"/>
    </row>
    <row r="65" spans="1:13" s="12" customFormat="1" ht="15.95" hidden="1" customHeight="1" x14ac:dyDescent="0.15">
      <c r="H65" s="20"/>
      <c r="I65" s="36"/>
    </row>
    <row r="66" spans="1:13" s="12" customFormat="1" ht="15.95" hidden="1" customHeight="1" x14ac:dyDescent="0.15"/>
    <row r="67" spans="1:13" s="12" customFormat="1" ht="15.95" hidden="1" customHeight="1" x14ac:dyDescent="0.15">
      <c r="A67" s="131"/>
      <c r="B67" s="24" t="s">
        <v>92</v>
      </c>
    </row>
    <row r="68" spans="1:13" s="12" customFormat="1" ht="15.95" hidden="1" customHeight="1" x14ac:dyDescent="0.15"/>
    <row r="69" spans="1:13" s="12" customFormat="1" ht="15.95" hidden="1" customHeight="1" x14ac:dyDescent="0.15">
      <c r="B69" s="136" t="s">
        <v>2</v>
      </c>
      <c r="C69" s="27" t="s">
        <v>4</v>
      </c>
      <c r="D69" s="167">
        <f>D9</f>
        <v>5000</v>
      </c>
      <c r="E69" s="12" t="s">
        <v>458</v>
      </c>
      <c r="G69" s="20" t="s">
        <v>9</v>
      </c>
      <c r="H69" s="36" t="s">
        <v>404</v>
      </c>
      <c r="J69" s="36"/>
      <c r="K69" s="36"/>
    </row>
    <row r="70" spans="1:13" s="12" customFormat="1" ht="15.95" hidden="1" customHeight="1" x14ac:dyDescent="0.15">
      <c r="B70" s="137" t="s">
        <v>3</v>
      </c>
      <c r="C70" s="27" t="s">
        <v>4</v>
      </c>
      <c r="D70" s="167">
        <f>(D7+D8)/2</f>
        <v>1200</v>
      </c>
      <c r="E70" s="12" t="s">
        <v>458</v>
      </c>
      <c r="G70" s="20" t="s">
        <v>9</v>
      </c>
      <c r="H70" s="36" t="s">
        <v>391</v>
      </c>
      <c r="J70" s="20"/>
      <c r="K70" s="36"/>
    </row>
    <row r="71" spans="1:13" s="12" customFormat="1" ht="15.95" hidden="1" customHeight="1" x14ac:dyDescent="0.15">
      <c r="B71" s="137" t="s">
        <v>1132</v>
      </c>
      <c r="C71" s="27" t="s">
        <v>4</v>
      </c>
      <c r="D71" s="184">
        <f>0.7*ABS(D5*D70/10^3)</f>
        <v>0.12867008000000002</v>
      </c>
      <c r="E71" s="24" t="s">
        <v>477</v>
      </c>
      <c r="F71" s="130"/>
      <c r="G71" s="20" t="s">
        <v>9</v>
      </c>
      <c r="H71" s="36" t="s">
        <v>382</v>
      </c>
      <c r="J71" s="20"/>
      <c r="K71" s="36"/>
    </row>
    <row r="72" spans="1:13" s="12" customFormat="1" ht="15.95" hidden="1" customHeight="1" x14ac:dyDescent="0.15">
      <c r="B72" s="137" t="s">
        <v>5</v>
      </c>
      <c r="C72" s="27" t="s">
        <v>4</v>
      </c>
      <c r="D72" s="167">
        <f>D6</f>
        <v>210000</v>
      </c>
      <c r="E72" s="43" t="s">
        <v>457</v>
      </c>
      <c r="G72" s="20" t="s">
        <v>9</v>
      </c>
      <c r="H72" s="36" t="s">
        <v>95</v>
      </c>
      <c r="J72" s="20"/>
      <c r="K72" s="36"/>
    </row>
    <row r="73" spans="1:13" s="12" customFormat="1" ht="15.95" hidden="1" customHeight="1" x14ac:dyDescent="0.15">
      <c r="B73" s="137" t="s">
        <v>10</v>
      </c>
      <c r="C73" s="27" t="s">
        <v>4</v>
      </c>
      <c r="D73" s="167">
        <f>D43</f>
        <v>262978.66666666669</v>
      </c>
      <c r="E73" s="12" t="s">
        <v>475</v>
      </c>
      <c r="G73" s="20" t="s">
        <v>9</v>
      </c>
      <c r="H73" s="36" t="s">
        <v>96</v>
      </c>
      <c r="J73" s="20"/>
      <c r="K73" s="36"/>
    </row>
    <row r="74" spans="1:13" s="12" customFormat="1" ht="15.95" hidden="1" customHeight="1" x14ac:dyDescent="0.15">
      <c r="J74" s="20"/>
      <c r="K74" s="36"/>
    </row>
    <row r="75" spans="1:13" s="12" customFormat="1" ht="15.95" hidden="1" customHeight="1" x14ac:dyDescent="0.15">
      <c r="A75" s="25"/>
      <c r="B75" s="24" t="s">
        <v>104</v>
      </c>
      <c r="J75" s="20"/>
      <c r="K75" s="36"/>
    </row>
    <row r="76" spans="1:13" s="12" customFormat="1" ht="15.95" hidden="1" customHeight="1" x14ac:dyDescent="0.15">
      <c r="J76" s="20"/>
      <c r="K76" s="36"/>
      <c r="L76" s="133"/>
      <c r="M76" s="131"/>
    </row>
    <row r="77" spans="1:13" s="12" customFormat="1" ht="15.95" hidden="1" customHeight="1" x14ac:dyDescent="0.15">
      <c r="A77" s="12" t="s">
        <v>1</v>
      </c>
      <c r="B77" s="36" t="s">
        <v>85</v>
      </c>
      <c r="C77" s="27" t="s">
        <v>4</v>
      </c>
      <c r="D77" s="36" t="s">
        <v>388</v>
      </c>
      <c r="G77" s="36"/>
      <c r="K77" s="36"/>
    </row>
    <row r="78" spans="1:13" s="12" customFormat="1" ht="15.95" hidden="1" customHeight="1" x14ac:dyDescent="0.15">
      <c r="B78" s="130"/>
      <c r="C78" s="27" t="s">
        <v>4</v>
      </c>
      <c r="D78" s="172">
        <f>D71*D69/2</f>
        <v>321.67520000000007</v>
      </c>
      <c r="E78" s="24" t="s">
        <v>476</v>
      </c>
      <c r="G78" s="36"/>
      <c r="K78" s="36"/>
    </row>
    <row r="79" spans="1:13" s="12" customFormat="1" ht="15.95" hidden="1" customHeight="1" x14ac:dyDescent="0.15">
      <c r="B79" s="131"/>
      <c r="C79" s="134"/>
      <c r="D79" s="132"/>
      <c r="G79" s="36"/>
      <c r="K79" s="36"/>
    </row>
    <row r="80" spans="1:13" s="12" customFormat="1" ht="15.95" hidden="1" customHeight="1" x14ac:dyDescent="0.15">
      <c r="B80" s="36" t="s">
        <v>385</v>
      </c>
      <c r="C80" s="27" t="s">
        <v>4</v>
      </c>
      <c r="D80" s="36" t="s">
        <v>388</v>
      </c>
      <c r="G80" s="78"/>
      <c r="K80" s="36"/>
    </row>
    <row r="81" spans="2:21" s="12" customFormat="1" ht="15.95" hidden="1" customHeight="1" x14ac:dyDescent="0.15">
      <c r="B81" s="135"/>
      <c r="C81" s="27" t="s">
        <v>4</v>
      </c>
      <c r="D81" s="172">
        <f>D71*D69/2</f>
        <v>321.67520000000007</v>
      </c>
      <c r="E81" s="24" t="s">
        <v>476</v>
      </c>
      <c r="K81" s="36"/>
    </row>
    <row r="82" spans="2:21" s="12" customFormat="1" ht="15.95" hidden="1" customHeight="1" x14ac:dyDescent="0.15">
      <c r="B82" s="135"/>
      <c r="C82" s="134"/>
      <c r="D82" s="30"/>
      <c r="K82" s="36"/>
    </row>
    <row r="83" spans="2:21" s="12" customFormat="1" ht="15.95" hidden="1" customHeight="1" x14ac:dyDescent="0.15">
      <c r="B83" s="36" t="s">
        <v>65</v>
      </c>
      <c r="C83" s="27" t="s">
        <v>4</v>
      </c>
      <c r="D83" s="36" t="s">
        <v>387</v>
      </c>
      <c r="F83" s="36"/>
      <c r="K83" s="36"/>
      <c r="N83" s="172"/>
      <c r="O83" s="43"/>
    </row>
    <row r="84" spans="2:21" s="12" customFormat="1" ht="15.95" hidden="1" customHeight="1" x14ac:dyDescent="0.15">
      <c r="C84" s="27" t="s">
        <v>4</v>
      </c>
      <c r="D84" s="172">
        <f>D71*D69^2/8</f>
        <v>402094.00000000006</v>
      </c>
      <c r="E84" s="43" t="s">
        <v>497</v>
      </c>
      <c r="F84" s="36"/>
      <c r="K84" s="36"/>
      <c r="N84" s="334"/>
    </row>
    <row r="85" spans="2:21" s="12" customFormat="1" ht="15.95" hidden="1" customHeight="1" x14ac:dyDescent="0.15">
      <c r="B85" s="135"/>
      <c r="C85" s="134"/>
      <c r="D85" s="30"/>
      <c r="K85" s="36"/>
    </row>
    <row r="86" spans="2:21" s="12" customFormat="1" ht="15.95" hidden="1" customHeight="1" x14ac:dyDescent="0.15">
      <c r="B86" s="78" t="s">
        <v>120</v>
      </c>
      <c r="C86" s="27" t="s">
        <v>4</v>
      </c>
      <c r="D86" s="36" t="s">
        <v>390</v>
      </c>
      <c r="K86" s="36"/>
      <c r="N86" s="332"/>
      <c r="O86" s="43"/>
    </row>
    <row r="87" spans="2:21" s="12" customFormat="1" ht="15.95" hidden="1" customHeight="1" x14ac:dyDescent="0.15">
      <c r="B87" s="135"/>
      <c r="C87" s="27" t="s">
        <v>4</v>
      </c>
      <c r="D87" s="79">
        <f>(5*D71*D69^4)/(384*D72*D73)</f>
        <v>18.960795510239954</v>
      </c>
      <c r="E87" s="24" t="s">
        <v>458</v>
      </c>
      <c r="K87" s="36"/>
      <c r="N87" s="334"/>
    </row>
    <row r="88" spans="2:21" ht="15.95" hidden="1" customHeight="1" x14ac:dyDescent="0.15">
      <c r="B88" s="127"/>
      <c r="C88" s="20"/>
      <c r="D88" s="127"/>
      <c r="H88" s="43"/>
      <c r="K88" s="36"/>
    </row>
    <row r="89" spans="2:21" ht="15.95" hidden="1" customHeight="1" x14ac:dyDescent="0.15">
      <c r="C89" s="20"/>
      <c r="D89" s="30"/>
      <c r="E89" s="43"/>
      <c r="K89" s="36"/>
    </row>
    <row r="90" spans="2:21" ht="15.95" hidden="1" customHeight="1" x14ac:dyDescent="0.15">
      <c r="B90" s="128"/>
      <c r="C90" s="20"/>
      <c r="D90" s="127"/>
      <c r="H90" s="43"/>
      <c r="J90" s="43"/>
      <c r="K90" s="36"/>
    </row>
    <row r="91" spans="2:21" ht="15.95" hidden="1" customHeight="1" x14ac:dyDescent="0.15">
      <c r="B91" s="68"/>
      <c r="C91" s="20"/>
      <c r="D91" s="34"/>
      <c r="E91" s="43"/>
      <c r="K91" s="36"/>
    </row>
    <row r="92" spans="2:21" ht="15.95" hidden="1" customHeight="1" x14ac:dyDescent="0.15">
      <c r="B92" s="68"/>
      <c r="C92" s="20"/>
      <c r="K92" s="36"/>
    </row>
    <row r="93" spans="2:21" s="47" customFormat="1" ht="15.95" hidden="1" customHeight="1" x14ac:dyDescent="0.15">
      <c r="B93" s="21" t="s">
        <v>144</v>
      </c>
    </row>
    <row r="94" spans="2:21" s="47" customFormat="1" ht="15.95" hidden="1" customHeight="1" x14ac:dyDescent="0.15">
      <c r="D94" s="52"/>
      <c r="O94" s="74"/>
      <c r="Q94" s="74"/>
      <c r="S94" s="74"/>
      <c r="U94" s="74"/>
    </row>
    <row r="95" spans="2:21" s="47" customFormat="1" ht="15.95" hidden="1" customHeight="1" x14ac:dyDescent="0.15">
      <c r="B95" s="22" t="s">
        <v>65</v>
      </c>
      <c r="C95" s="27" t="s">
        <v>4</v>
      </c>
      <c r="D95" s="167">
        <f>D84</f>
        <v>402094.00000000006</v>
      </c>
      <c r="E95" s="12" t="s">
        <v>498</v>
      </c>
      <c r="F95" s="12"/>
      <c r="G95" s="27" t="s">
        <v>9</v>
      </c>
      <c r="H95" s="22" t="s">
        <v>137</v>
      </c>
      <c r="I95" s="12"/>
      <c r="J95" s="12"/>
      <c r="K95" s="12"/>
      <c r="L95" s="12"/>
      <c r="M95" s="12"/>
      <c r="N95" s="12"/>
      <c r="O95" s="12"/>
    </row>
    <row r="96" spans="2:21" s="47" customFormat="1" ht="15.95" hidden="1" customHeight="1" x14ac:dyDescent="0.15">
      <c r="B96" s="35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</row>
    <row r="97" spans="2:16" s="47" customFormat="1" ht="15.95" hidden="1" customHeight="1" x14ac:dyDescent="0.15">
      <c r="B97" s="22" t="s">
        <v>996</v>
      </c>
      <c r="C97" s="27" t="s">
        <v>4</v>
      </c>
      <c r="D97" s="167">
        <f>D44</f>
        <v>10519.146666666667</v>
      </c>
      <c r="E97" s="12" t="s">
        <v>502</v>
      </c>
      <c r="F97" s="12"/>
      <c r="G97" s="27" t="s">
        <v>9</v>
      </c>
      <c r="H97" s="22" t="s">
        <v>138</v>
      </c>
      <c r="I97" s="12"/>
      <c r="J97" s="12"/>
      <c r="K97" s="12"/>
      <c r="L97" s="12"/>
      <c r="M97" s="12"/>
      <c r="N97" s="12"/>
      <c r="O97" s="12"/>
    </row>
    <row r="98" spans="2:16" s="47" customFormat="1" ht="15.95" hidden="1" customHeight="1" x14ac:dyDescent="0.15">
      <c r="B98" s="12"/>
      <c r="C98" s="12"/>
      <c r="D98" s="24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</row>
    <row r="99" spans="2:16" s="47" customFormat="1" ht="15.95" hidden="1" customHeight="1" x14ac:dyDescent="0.15">
      <c r="B99" s="12"/>
      <c r="C99" s="27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</row>
    <row r="100" spans="2:16" s="47" customFormat="1" ht="15.95" hidden="1" customHeight="1" x14ac:dyDescent="0.15">
      <c r="B100" s="35" t="s">
        <v>132</v>
      </c>
      <c r="C100" s="12"/>
      <c r="D100" s="28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</row>
    <row r="101" spans="2:16" s="47" customFormat="1" ht="15.95" hidden="1" customHeight="1" x14ac:dyDescent="0.15">
      <c r="B101" s="12"/>
      <c r="C101" s="12"/>
      <c r="D101" s="24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</row>
    <row r="102" spans="2:16" s="47" customFormat="1" ht="15.95" hidden="1" customHeight="1" x14ac:dyDescent="0.15">
      <c r="B102" s="32" t="s">
        <v>135</v>
      </c>
      <c r="C102" s="20" t="s">
        <v>4</v>
      </c>
      <c r="D102" s="36" t="s">
        <v>1129</v>
      </c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</row>
    <row r="103" spans="2:16" s="47" customFormat="1" ht="15.95" hidden="1" customHeight="1" x14ac:dyDescent="0.15">
      <c r="B103" s="12"/>
      <c r="C103" s="27" t="s">
        <v>4</v>
      </c>
      <c r="D103" s="29">
        <f>D95/D97</f>
        <v>38.224963748643745</v>
      </c>
      <c r="E103" s="12" t="s">
        <v>457</v>
      </c>
      <c r="F103" s="12"/>
      <c r="G103" s="12"/>
      <c r="H103" s="12"/>
      <c r="I103" s="12"/>
      <c r="J103" s="12"/>
      <c r="K103" s="12"/>
      <c r="L103" s="12"/>
      <c r="M103" s="12"/>
      <c r="N103" s="12"/>
      <c r="O103" s="12"/>
    </row>
    <row r="104" spans="2:16" s="47" customFormat="1" ht="15.95" hidden="1" customHeight="1" x14ac:dyDescent="0.15">
      <c r="B104" s="12"/>
      <c r="C104" s="12"/>
      <c r="D104" s="24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</row>
    <row r="105" spans="2:16" s="47" customFormat="1" ht="15.95" hidden="1" customHeight="1" x14ac:dyDescent="0.15">
      <c r="B105" s="12"/>
      <c r="C105" s="12"/>
      <c r="D105" s="24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</row>
    <row r="106" spans="2:16" s="47" customFormat="1" ht="15.95" hidden="1" customHeight="1" x14ac:dyDescent="0.15">
      <c r="B106" s="35" t="s">
        <v>133</v>
      </c>
      <c r="C106" s="12"/>
      <c r="D106" s="12"/>
      <c r="E106" s="24"/>
      <c r="F106" s="12"/>
      <c r="G106" s="12"/>
      <c r="H106" s="12"/>
      <c r="I106" s="12"/>
      <c r="J106" s="12"/>
      <c r="K106" s="12"/>
      <c r="L106" s="12"/>
      <c r="M106" s="12"/>
      <c r="N106" s="12"/>
      <c r="O106" s="12"/>
    </row>
    <row r="107" spans="2:16" s="47" customFormat="1" ht="15.95" hidden="1" customHeight="1" x14ac:dyDescent="0.15">
      <c r="B107" s="35"/>
      <c r="C107" s="12"/>
      <c r="D107" s="12"/>
      <c r="E107" s="12"/>
      <c r="F107" s="12"/>
      <c r="G107" s="27"/>
      <c r="H107" s="22"/>
      <c r="I107" s="12"/>
      <c r="J107" s="12"/>
      <c r="K107" s="12"/>
      <c r="L107" s="12"/>
      <c r="M107" s="352">
        <f>M1</f>
        <v>1</v>
      </c>
      <c r="N107" s="12"/>
      <c r="P107" s="12"/>
    </row>
    <row r="108" spans="2:16" s="47" customFormat="1" ht="15.95" hidden="1" customHeight="1" x14ac:dyDescent="0.15">
      <c r="B108" s="36" t="s">
        <v>140</v>
      </c>
      <c r="C108" s="20" t="s">
        <v>4</v>
      </c>
      <c r="D108" s="29">
        <f>IF(M107=M108,N108,N109)</f>
        <v>275</v>
      </c>
      <c r="E108" s="29" t="s">
        <v>457</v>
      </c>
      <c r="F108" s="24"/>
      <c r="G108" s="20" t="s">
        <v>9</v>
      </c>
      <c r="H108" s="36" t="str">
        <f>IF(M107=M108,O108,O109)</f>
        <v>SS 275  Yield Strength</v>
      </c>
      <c r="I108" s="12"/>
      <c r="J108" s="12"/>
      <c r="K108" s="12"/>
      <c r="L108" s="12"/>
      <c r="M108" s="350">
        <v>1</v>
      </c>
      <c r="N108" s="351">
        <v>275</v>
      </c>
      <c r="O108" s="349" t="s">
        <v>649</v>
      </c>
      <c r="P108" s="12"/>
    </row>
    <row r="109" spans="2:16" s="47" customFormat="1" ht="15.95" hidden="1" customHeight="1" x14ac:dyDescent="0.15">
      <c r="B109" s="36" t="s">
        <v>319</v>
      </c>
      <c r="C109" s="20" t="s">
        <v>4</v>
      </c>
      <c r="D109" s="80" t="s">
        <v>650</v>
      </c>
      <c r="E109" s="36"/>
      <c r="F109" s="24"/>
      <c r="G109" s="24"/>
      <c r="H109" s="24"/>
      <c r="I109" s="12"/>
      <c r="J109" s="24"/>
      <c r="K109" s="24"/>
      <c r="L109" s="24"/>
      <c r="M109" s="350">
        <v>2</v>
      </c>
      <c r="N109" s="351">
        <v>205</v>
      </c>
      <c r="O109" s="349" t="s">
        <v>885</v>
      </c>
      <c r="P109" s="12"/>
    </row>
    <row r="110" spans="2:16" s="47" customFormat="1" ht="15.95" hidden="1" customHeight="1" x14ac:dyDescent="0.15">
      <c r="B110" s="38"/>
      <c r="C110" s="20" t="s">
        <v>4</v>
      </c>
      <c r="D110" s="29">
        <f>0.66*D108</f>
        <v>181.5</v>
      </c>
      <c r="E110" s="29" t="s">
        <v>457</v>
      </c>
      <c r="F110" s="24"/>
      <c r="G110" s="24"/>
      <c r="H110" s="24"/>
      <c r="I110" s="24"/>
      <c r="J110" s="24"/>
      <c r="K110" s="24"/>
      <c r="L110" s="24"/>
      <c r="M110" s="12"/>
      <c r="N110" s="12"/>
      <c r="O110" s="12"/>
      <c r="P110" s="12"/>
    </row>
    <row r="111" spans="2:16" s="47" customFormat="1" ht="15.95" hidden="1" customHeight="1" x14ac:dyDescent="0.15">
      <c r="B111" s="26"/>
      <c r="C111" s="20"/>
      <c r="D111" s="29"/>
      <c r="E111" s="12"/>
      <c r="F111" s="12"/>
      <c r="G111" s="24"/>
      <c r="H111" s="24"/>
      <c r="I111" s="24"/>
      <c r="J111" s="24"/>
      <c r="K111" s="24"/>
      <c r="L111" s="24"/>
      <c r="M111" s="12"/>
      <c r="N111" s="12"/>
      <c r="O111" s="12"/>
      <c r="P111" s="12"/>
    </row>
    <row r="112" spans="2:16" ht="15.95" hidden="1" customHeight="1" x14ac:dyDescent="0.15">
      <c r="B112" s="35" t="s">
        <v>142</v>
      </c>
      <c r="M112" s="12"/>
      <c r="N112" s="12"/>
      <c r="O112" s="12"/>
      <c r="P112" s="12"/>
    </row>
    <row r="113" spans="2:16" ht="15.95" hidden="1" customHeight="1" x14ac:dyDescent="0.15">
      <c r="B113" s="35"/>
      <c r="M113" s="12"/>
      <c r="N113" s="12"/>
      <c r="O113" s="12"/>
      <c r="P113" s="12"/>
    </row>
    <row r="114" spans="2:16" ht="15.95" hidden="1" customHeight="1" x14ac:dyDescent="0.15">
      <c r="B114" s="36" t="s">
        <v>143</v>
      </c>
      <c r="C114" s="20" t="s">
        <v>4</v>
      </c>
      <c r="D114" s="38">
        <f>D103/D110</f>
        <v>0.21060586087407021</v>
      </c>
      <c r="E114" s="39" t="str">
        <f>IF(D114&gt;F114,"&gt;","&lt;")</f>
        <v>&lt;</v>
      </c>
      <c r="F114" s="19">
        <v>1</v>
      </c>
      <c r="G114" s="107" t="str">
        <f>IF(D114&lt;F114,"O.K.","N.G.")</f>
        <v>O.K.</v>
      </c>
      <c r="M114" s="12"/>
      <c r="N114" s="12"/>
      <c r="O114" s="12"/>
      <c r="P114" s="12"/>
    </row>
    <row r="115" spans="2:16" s="47" customFormat="1" ht="15.95" hidden="1" customHeight="1" x14ac:dyDescent="0.15">
      <c r="B115" s="26"/>
      <c r="C115" s="20"/>
      <c r="D115" s="29"/>
      <c r="E115" s="12"/>
      <c r="F115" s="12"/>
      <c r="G115" s="24"/>
      <c r="H115" s="24"/>
      <c r="I115" s="24"/>
      <c r="J115" s="24"/>
      <c r="K115" s="24"/>
      <c r="L115" s="24"/>
      <c r="M115" s="12"/>
      <c r="N115" s="164"/>
      <c r="O115" s="12"/>
    </row>
    <row r="116" spans="2:16" s="47" customFormat="1" ht="15.95" hidden="1" customHeight="1" x14ac:dyDescent="0.15">
      <c r="B116" s="26"/>
      <c r="C116" s="20"/>
      <c r="D116" s="29"/>
      <c r="E116" s="12"/>
      <c r="F116" s="12"/>
      <c r="G116" s="24"/>
      <c r="H116" s="24"/>
      <c r="I116" s="24"/>
      <c r="J116" s="24"/>
      <c r="K116" s="24"/>
      <c r="L116" s="24"/>
      <c r="M116" s="12"/>
      <c r="N116" s="164"/>
      <c r="O116" s="12"/>
    </row>
    <row r="117" spans="2:16" ht="15.95" hidden="1" customHeight="1" x14ac:dyDescent="0.15">
      <c r="B117" s="40" t="s">
        <v>145</v>
      </c>
    </row>
    <row r="118" spans="2:16" ht="15.95" hidden="1" customHeight="1" x14ac:dyDescent="0.15"/>
    <row r="119" spans="2:16" ht="15.95" hidden="1" customHeight="1" x14ac:dyDescent="0.15">
      <c r="B119" s="35" t="s">
        <v>147</v>
      </c>
    </row>
    <row r="120" spans="2:16" ht="15.95" hidden="1" customHeight="1" x14ac:dyDescent="0.15">
      <c r="B120" s="35"/>
    </row>
    <row r="121" spans="2:16" ht="15.95" hidden="1" customHeight="1" x14ac:dyDescent="0.15">
      <c r="B121" s="78" t="s">
        <v>120</v>
      </c>
      <c r="C121" s="20" t="s">
        <v>4</v>
      </c>
      <c r="D121" s="24">
        <f>D16</f>
        <v>18.960795510239954</v>
      </c>
      <c r="E121" s="29" t="s">
        <v>479</v>
      </c>
    </row>
    <row r="122" spans="2:16" ht="15.95" hidden="1" customHeight="1" x14ac:dyDescent="0.15"/>
    <row r="123" spans="2:16" ht="15.95" hidden="1" customHeight="1" x14ac:dyDescent="0.15"/>
    <row r="124" spans="2:16" ht="15.95" hidden="1" customHeight="1" x14ac:dyDescent="0.15">
      <c r="B124" s="35" t="s">
        <v>146</v>
      </c>
      <c r="E124" s="42" t="s">
        <v>150</v>
      </c>
    </row>
    <row r="125" spans="2:16" ht="15.95" hidden="1" customHeight="1" x14ac:dyDescent="0.15">
      <c r="B125" s="35"/>
    </row>
    <row r="126" spans="2:16" ht="15.95" hidden="1" customHeight="1" x14ac:dyDescent="0.15">
      <c r="B126" s="78" t="s">
        <v>2</v>
      </c>
      <c r="C126" s="20" t="s">
        <v>4</v>
      </c>
      <c r="D126" s="167">
        <f>D9</f>
        <v>5000</v>
      </c>
      <c r="E126" s="24" t="str">
        <f>IF(D126&gt;4110,"mm      &gt;     4110 mm","mm     ≤     4110 mm")</f>
        <v>mm      &gt;     4110 mm</v>
      </c>
      <c r="M126" s="43" t="s">
        <v>151</v>
      </c>
      <c r="N126" s="41">
        <f>D126/240+6.35</f>
        <v>27.18333333333333</v>
      </c>
    </row>
    <row r="127" spans="2:16" ht="15.95" hidden="1" customHeight="1" x14ac:dyDescent="0.15">
      <c r="B127" s="78" t="s">
        <v>148</v>
      </c>
      <c r="C127" s="20" t="s">
        <v>4</v>
      </c>
      <c r="D127" s="177">
        <f>D126</f>
        <v>5000</v>
      </c>
      <c r="E127" s="35" t="str">
        <f>IF(D126&lt;4110,"mm      /     175","mm      /      240 + 6.35 mm ")</f>
        <v xml:space="preserve">mm      /      240 + 6.35 mm </v>
      </c>
      <c r="M127" s="43" t="s">
        <v>152</v>
      </c>
      <c r="N127" s="41">
        <f>D126/175</f>
        <v>28.571428571428573</v>
      </c>
    </row>
    <row r="128" spans="2:16" ht="15.95" hidden="1" customHeight="1" x14ac:dyDescent="0.15">
      <c r="B128" s="38"/>
      <c r="C128" s="20" t="s">
        <v>4</v>
      </c>
      <c r="D128" s="38">
        <f>IF(D126&gt;4110,N126,N127)</f>
        <v>27.18333333333333</v>
      </c>
      <c r="E128" s="24" t="s">
        <v>468</v>
      </c>
    </row>
    <row r="129" spans="1:21" ht="15.95" hidden="1" customHeight="1" x14ac:dyDescent="0.15"/>
    <row r="130" spans="1:21" ht="15.95" hidden="1" customHeight="1" x14ac:dyDescent="0.15"/>
    <row r="131" spans="1:21" ht="15.95" hidden="1" customHeight="1" x14ac:dyDescent="0.15">
      <c r="B131" s="35" t="s">
        <v>153</v>
      </c>
    </row>
    <row r="132" spans="1:21" s="20" customFormat="1" ht="15.95" hidden="1" customHeight="1" x14ac:dyDescent="0.15">
      <c r="A132" s="43"/>
      <c r="C132" s="43"/>
      <c r="D132" s="43"/>
      <c r="E132" s="43"/>
      <c r="F132" s="43"/>
      <c r="G132" s="43"/>
      <c r="H132" s="43"/>
      <c r="I132" s="43"/>
      <c r="J132" s="43"/>
      <c r="K132" s="43"/>
      <c r="L132" s="43"/>
      <c r="M132" s="43"/>
      <c r="O132" s="24"/>
      <c r="P132" s="24"/>
      <c r="Q132" s="24"/>
      <c r="R132" s="24"/>
      <c r="S132" s="24"/>
      <c r="T132" s="24"/>
      <c r="U132" s="24"/>
    </row>
    <row r="133" spans="1:21" s="20" customFormat="1" ht="15.95" hidden="1" customHeight="1" x14ac:dyDescent="0.15">
      <c r="A133" s="24"/>
      <c r="B133" s="36" t="s">
        <v>359</v>
      </c>
      <c r="C133" s="20" t="s">
        <v>4</v>
      </c>
      <c r="D133" s="38">
        <f>D121/(D128)</f>
        <v>0.69751546941410014</v>
      </c>
      <c r="E133" s="39" t="str">
        <f>IF(D133&gt;F133,"&gt;","&lt;")</f>
        <v>&lt;</v>
      </c>
      <c r="F133" s="19">
        <v>1</v>
      </c>
      <c r="G133" s="107" t="str">
        <f>IF(D133&lt;F133,"O.K.","N.G.")</f>
        <v>O.K.</v>
      </c>
      <c r="I133" s="43"/>
      <c r="J133" s="43"/>
      <c r="K133" s="43"/>
      <c r="L133" s="43"/>
      <c r="M133" s="43"/>
      <c r="O133" s="24"/>
      <c r="P133" s="24"/>
      <c r="Q133" s="24"/>
      <c r="R133" s="24"/>
      <c r="S133" s="24"/>
      <c r="T133" s="24"/>
      <c r="U133" s="24"/>
    </row>
    <row r="134" spans="1:21" ht="15.95" hidden="1" customHeight="1" x14ac:dyDescent="0.15"/>
    <row r="135" spans="1:21" ht="15.95" hidden="1" customHeight="1" x14ac:dyDescent="0.15"/>
  </sheetData>
  <sheetProtection algorithmName="SHA-512" hashValue="GcWFgZvbWxZhw7oDrJw8+h8m8rkq7SF0+s1qQFT9qjHzyvYDP78MTKoV/bwW5e4Wk6E0itT2/dpSHeibyti46g==" saltValue="TMwrvHsnzW9XxBoJ8kG3Sw==" spinCount="100000" sheet="1" objects="1" scenarios="1" selectLockedCells="1"/>
  <protectedRanges>
    <protectedRange sqref="D7:D10" name="범위1_2"/>
    <protectedRange sqref="D37:D40" name="범위1_3"/>
  </protectedRanges>
  <mergeCells count="2">
    <mergeCell ref="B22:E33"/>
    <mergeCell ref="B46:K46"/>
  </mergeCells>
  <phoneticPr fontId="2" type="noConversion"/>
  <pageMargins left="0.51181102362204722" right="0.51181102362204722" top="0.78740157480314965" bottom="0.59055118110236227" header="0.39370078740157483" footer="0.39370078740157483"/>
  <pageSetup paperSize="9" orientation="portrait" r:id="rId1"/>
  <headerFooter alignWithMargins="0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C9A8FC-DA9F-4476-8FBA-67EB3722E321}">
  <sheetPr codeName="Sheet21">
    <tabColor rgb="FFC00000"/>
  </sheetPr>
  <dimension ref="A1:U133"/>
  <sheetViews>
    <sheetView view="pageBreakPreview" zoomScale="75" zoomScaleNormal="100" zoomScaleSheetLayoutView="75" workbookViewId="0">
      <selection activeCell="M1" sqref="M1"/>
    </sheetView>
  </sheetViews>
  <sheetFormatPr defaultRowHeight="15.95" customHeight="1" x14ac:dyDescent="0.15"/>
  <cols>
    <col min="1" max="1" width="2.77734375" style="24" customWidth="1"/>
    <col min="2" max="2" width="7.33203125" style="24" customWidth="1"/>
    <col min="3" max="3" width="5.33203125" style="24" customWidth="1"/>
    <col min="4" max="4" width="9.33203125" style="24" customWidth="1"/>
    <col min="5" max="5" width="5.33203125" style="24" customWidth="1"/>
    <col min="6" max="6" width="9.33203125" style="24" customWidth="1"/>
    <col min="7" max="8" width="7.33203125" style="24" customWidth="1"/>
    <col min="9" max="9" width="5.33203125" style="24" customWidth="1"/>
    <col min="10" max="10" width="9.33203125" style="24" customWidth="1"/>
    <col min="11" max="11" width="7.33203125" style="24" customWidth="1"/>
    <col min="12" max="12" width="2.77734375" style="24" customWidth="1"/>
    <col min="13" max="13" width="6.77734375" style="24" customWidth="1"/>
    <col min="14" max="14" width="9.77734375" style="24" customWidth="1"/>
    <col min="15" max="15" width="8.77734375" style="24" customWidth="1"/>
    <col min="16" max="16" width="9.77734375" style="24" customWidth="1"/>
    <col min="17" max="17" width="6.77734375" style="24" customWidth="1"/>
    <col min="18" max="18" width="8.77734375" style="24" customWidth="1"/>
    <col min="19" max="20" width="6.77734375" style="24" customWidth="1"/>
    <col min="21" max="21" width="9.77734375" style="24" customWidth="1"/>
    <col min="22" max="16384" width="8.88671875" style="24"/>
  </cols>
  <sheetData>
    <row r="1" spans="1:17" ht="15.95" customHeight="1" x14ac:dyDescent="0.15">
      <c r="A1" s="76" t="s">
        <v>366</v>
      </c>
      <c r="M1" s="577">
        <v>1</v>
      </c>
    </row>
    <row r="2" spans="1:17" ht="15.95" customHeight="1" x14ac:dyDescent="0.15">
      <c r="M2" s="186">
        <v>1</v>
      </c>
      <c r="N2" s="348">
        <v>210000</v>
      </c>
      <c r="O2" s="349" t="s">
        <v>883</v>
      </c>
      <c r="P2" s="335"/>
    </row>
    <row r="3" spans="1:17" ht="15.95" customHeight="1" x14ac:dyDescent="0.15">
      <c r="B3" s="77" t="s">
        <v>58</v>
      </c>
      <c r="M3" s="186">
        <v>2</v>
      </c>
      <c r="N3" s="348">
        <v>193000</v>
      </c>
      <c r="O3" s="349" t="s">
        <v>884</v>
      </c>
      <c r="P3" s="335"/>
    </row>
    <row r="5" spans="1:17" ht="15.95" customHeight="1" x14ac:dyDescent="0.15">
      <c r="B5" s="78" t="s">
        <v>994</v>
      </c>
      <c r="C5" s="20" t="s">
        <v>4</v>
      </c>
      <c r="D5" s="443">
        <f>지진하중!E37</f>
        <v>0.15317866666666669</v>
      </c>
      <c r="E5" s="43" t="s">
        <v>456</v>
      </c>
      <c r="H5" s="36" t="s">
        <v>69</v>
      </c>
      <c r="J5" s="49"/>
      <c r="M5" s="38"/>
      <c r="P5" s="12"/>
      <c r="Q5" s="12"/>
    </row>
    <row r="6" spans="1:17" ht="15.95" customHeight="1" x14ac:dyDescent="0.15">
      <c r="B6" s="78" t="s">
        <v>67</v>
      </c>
      <c r="C6" s="20" t="s">
        <v>4</v>
      </c>
      <c r="D6" s="167">
        <f>IF(M1=M2,N2,N3)</f>
        <v>210000</v>
      </c>
      <c r="E6" s="43" t="s">
        <v>457</v>
      </c>
      <c r="H6" s="36" t="str">
        <f>IF(M1=M2,O2,O3)</f>
        <v>( Modulus of Elasticity , SS 275 )</v>
      </c>
      <c r="I6" s="43"/>
      <c r="M6" s="698"/>
      <c r="N6" s="698"/>
      <c r="O6" s="12"/>
      <c r="P6" s="12"/>
    </row>
    <row r="7" spans="1:17" ht="15.95" customHeight="1" x14ac:dyDescent="0.15">
      <c r="B7" s="78" t="s">
        <v>60</v>
      </c>
      <c r="C7" s="20" t="s">
        <v>4</v>
      </c>
      <c r="D7" s="560">
        <v>1200</v>
      </c>
      <c r="E7" s="43" t="s">
        <v>458</v>
      </c>
      <c r="H7" s="36" t="s">
        <v>70</v>
      </c>
      <c r="M7" s="449"/>
      <c r="N7" s="450"/>
      <c r="O7" s="451"/>
      <c r="P7" s="451"/>
    </row>
    <row r="8" spans="1:17" ht="15.95" customHeight="1" x14ac:dyDescent="0.15">
      <c r="B8" s="78" t="s">
        <v>61</v>
      </c>
      <c r="C8" s="20" t="s">
        <v>4</v>
      </c>
      <c r="D8" s="560">
        <v>1200</v>
      </c>
      <c r="E8" s="43" t="s">
        <v>458</v>
      </c>
      <c r="H8" s="36" t="s">
        <v>71</v>
      </c>
      <c r="M8" s="452"/>
      <c r="N8" s="453"/>
      <c r="O8" s="446"/>
      <c r="P8" s="446"/>
    </row>
    <row r="9" spans="1:17" ht="15.95" customHeight="1" x14ac:dyDescent="0.15">
      <c r="B9" s="80" t="s">
        <v>392</v>
      </c>
      <c r="C9" s="20" t="s">
        <v>4</v>
      </c>
      <c r="D9" s="560">
        <v>5000</v>
      </c>
      <c r="E9" s="43" t="s">
        <v>458</v>
      </c>
      <c r="H9" s="36" t="s">
        <v>401</v>
      </c>
      <c r="J9" s="43"/>
      <c r="M9" s="452"/>
      <c r="N9" s="453"/>
      <c r="O9" s="446"/>
      <c r="P9" s="446"/>
    </row>
    <row r="10" spans="1:17" ht="15.95" customHeight="1" x14ac:dyDescent="0.15">
      <c r="B10" s="80" t="s">
        <v>393</v>
      </c>
      <c r="C10" s="20" t="s">
        <v>4</v>
      </c>
      <c r="D10" s="560">
        <v>2600</v>
      </c>
      <c r="E10" s="43" t="s">
        <v>458</v>
      </c>
      <c r="H10" s="36" t="s">
        <v>72</v>
      </c>
      <c r="M10" s="452"/>
      <c r="N10" s="453"/>
      <c r="O10" s="446"/>
      <c r="P10" s="446"/>
    </row>
    <row r="12" spans="1:17" ht="15.95" customHeight="1" x14ac:dyDescent="0.15">
      <c r="M12" s="165"/>
      <c r="N12" s="698"/>
      <c r="O12" s="698"/>
    </row>
    <row r="13" spans="1:17" ht="15.95" customHeight="1" x14ac:dyDescent="0.15">
      <c r="M13" s="165"/>
      <c r="N13" s="698"/>
      <c r="O13" s="698"/>
    </row>
    <row r="14" spans="1:17" ht="15.95" customHeight="1" x14ac:dyDescent="0.15">
      <c r="B14" s="36" t="s">
        <v>65</v>
      </c>
      <c r="C14" s="20" t="s">
        <v>4</v>
      </c>
      <c r="D14" s="172">
        <f>D84</f>
        <v>402094.00000000006</v>
      </c>
      <c r="E14" s="43" t="s">
        <v>497</v>
      </c>
      <c r="F14" s="36"/>
      <c r="H14" s="162" t="s">
        <v>66</v>
      </c>
      <c r="I14" s="20" t="s">
        <v>4</v>
      </c>
      <c r="J14" s="108">
        <f>D112</f>
        <v>0.34675731225296447</v>
      </c>
      <c r="K14" s="83" t="str">
        <f>IF(J14&lt;1,"O.K","N.G")</f>
        <v>O.K</v>
      </c>
      <c r="N14" s="29"/>
    </row>
    <row r="15" spans="1:17" ht="15.95" customHeight="1" x14ac:dyDescent="0.15">
      <c r="N15" s="29"/>
    </row>
    <row r="16" spans="1:17" ht="15.95" customHeight="1" x14ac:dyDescent="0.15">
      <c r="B16" s="36" t="s">
        <v>120</v>
      </c>
      <c r="C16" s="20" t="s">
        <v>4</v>
      </c>
      <c r="D16" s="79">
        <f>D87</f>
        <v>26.01539855072464</v>
      </c>
      <c r="E16" s="43" t="s">
        <v>458</v>
      </c>
      <c r="F16" s="36"/>
    </row>
    <row r="17" spans="2:12" ht="15.95" customHeight="1" x14ac:dyDescent="0.15">
      <c r="B17" s="36" t="s">
        <v>484</v>
      </c>
      <c r="C17" s="20" t="s">
        <v>4</v>
      </c>
      <c r="D17" s="79">
        <f>D126</f>
        <v>27.18333333333333</v>
      </c>
      <c r="E17" s="43" t="s">
        <v>458</v>
      </c>
      <c r="H17" s="80" t="s">
        <v>68</v>
      </c>
      <c r="I17" s="20" t="s">
        <v>4</v>
      </c>
      <c r="J17" s="108">
        <f>D131</f>
        <v>0.95703489456988267</v>
      </c>
      <c r="K17" s="83" t="str">
        <f>IF(J17&lt;1,"O.K","N.G")</f>
        <v>O.K</v>
      </c>
    </row>
    <row r="19" spans="2:12" ht="15.95" customHeight="1" x14ac:dyDescent="0.15">
      <c r="B19" s="78"/>
      <c r="C19" s="82"/>
      <c r="D19" s="20"/>
    </row>
    <row r="20" spans="2:12" ht="15.95" customHeight="1" x14ac:dyDescent="0.15">
      <c r="B20" s="77" t="s">
        <v>78</v>
      </c>
      <c r="E20" s="49"/>
    </row>
    <row r="21" spans="2:12" ht="15.95" customHeight="1" thickBot="1" x14ac:dyDescent="0.2">
      <c r="K21" s="81"/>
      <c r="L21" s="81"/>
    </row>
    <row r="22" spans="2:12" ht="15.95" customHeight="1" x14ac:dyDescent="0.15">
      <c r="B22" s="739"/>
      <c r="C22" s="696"/>
      <c r="D22" s="696"/>
      <c r="E22" s="697"/>
      <c r="F22" s="47"/>
      <c r="G22" s="138"/>
      <c r="H22" s="139"/>
      <c r="I22" s="139"/>
      <c r="J22" s="139"/>
      <c r="K22" s="140"/>
    </row>
    <row r="23" spans="2:12" ht="15.95" customHeight="1" x14ac:dyDescent="0.15">
      <c r="B23" s="740"/>
      <c r="C23" s="698"/>
      <c r="D23" s="698"/>
      <c r="E23" s="699"/>
      <c r="F23" s="47"/>
      <c r="G23" s="91"/>
      <c r="K23" s="110"/>
    </row>
    <row r="24" spans="2:12" ht="15.95" customHeight="1" x14ac:dyDescent="0.15">
      <c r="B24" s="740"/>
      <c r="C24" s="698"/>
      <c r="D24" s="698"/>
      <c r="E24" s="699"/>
      <c r="F24" s="47"/>
      <c r="G24" s="91"/>
      <c r="K24" s="110"/>
    </row>
    <row r="25" spans="2:12" ht="15.95" customHeight="1" x14ac:dyDescent="0.15">
      <c r="B25" s="740"/>
      <c r="C25" s="698"/>
      <c r="D25" s="698"/>
      <c r="E25" s="699"/>
      <c r="F25" s="47"/>
      <c r="G25" s="91"/>
      <c r="K25" s="110"/>
    </row>
    <row r="26" spans="2:12" ht="15.95" customHeight="1" x14ac:dyDescent="0.15">
      <c r="B26" s="740"/>
      <c r="C26" s="698"/>
      <c r="D26" s="698"/>
      <c r="E26" s="699"/>
      <c r="F26" s="47"/>
      <c r="G26" s="91"/>
      <c r="K26" s="110"/>
    </row>
    <row r="27" spans="2:12" ht="15.95" customHeight="1" x14ac:dyDescent="0.15">
      <c r="B27" s="740"/>
      <c r="C27" s="698"/>
      <c r="D27" s="698"/>
      <c r="E27" s="699"/>
      <c r="F27" s="47"/>
      <c r="G27" s="91"/>
      <c r="K27" s="110"/>
    </row>
    <row r="28" spans="2:12" ht="15.95" customHeight="1" x14ac:dyDescent="0.15">
      <c r="B28" s="740"/>
      <c r="C28" s="698"/>
      <c r="D28" s="698"/>
      <c r="E28" s="699"/>
      <c r="F28" s="47"/>
      <c r="G28" s="91"/>
      <c r="K28" s="110"/>
    </row>
    <row r="29" spans="2:12" ht="15.95" customHeight="1" x14ac:dyDescent="0.15">
      <c r="B29" s="740"/>
      <c r="C29" s="698"/>
      <c r="D29" s="698"/>
      <c r="E29" s="699"/>
      <c r="F29" s="47"/>
      <c r="G29" s="91"/>
      <c r="K29" s="110"/>
    </row>
    <row r="30" spans="2:12" ht="15.95" customHeight="1" x14ac:dyDescent="0.15">
      <c r="B30" s="740"/>
      <c r="C30" s="698"/>
      <c r="D30" s="698"/>
      <c r="E30" s="699"/>
      <c r="F30" s="47"/>
      <c r="G30" s="91"/>
      <c r="K30" s="110"/>
    </row>
    <row r="31" spans="2:12" ht="15.95" customHeight="1" x14ac:dyDescent="0.15">
      <c r="B31" s="740"/>
      <c r="C31" s="698"/>
      <c r="D31" s="698"/>
      <c r="E31" s="699"/>
      <c r="F31" s="47"/>
      <c r="G31" s="91"/>
      <c r="K31" s="110"/>
    </row>
    <row r="32" spans="2:12" ht="15.95" customHeight="1" x14ac:dyDescent="0.15">
      <c r="B32" s="740"/>
      <c r="C32" s="698"/>
      <c r="D32" s="698"/>
      <c r="E32" s="699"/>
      <c r="F32" s="47"/>
      <c r="G32" s="91"/>
      <c r="K32" s="110"/>
    </row>
    <row r="33" spans="1:21" ht="15.95" customHeight="1" x14ac:dyDescent="0.15">
      <c r="B33" s="111" t="str">
        <f>CONCATENATE("  * T - ",D35," × ",D36," × ",D37," / ",D38)</f>
        <v xml:space="preserve">  * T - 150 × 60 × 10 / 10</v>
      </c>
      <c r="E33" s="110"/>
      <c r="F33" s="47"/>
      <c r="G33" s="91"/>
      <c r="K33" s="110"/>
    </row>
    <row r="34" spans="1:21" ht="15.95" customHeight="1" x14ac:dyDescent="0.15">
      <c r="B34" s="91"/>
      <c r="E34" s="110"/>
      <c r="F34" s="47"/>
      <c r="G34" s="91"/>
      <c r="K34" s="110"/>
    </row>
    <row r="35" spans="1:21" ht="15.95" customHeight="1" x14ac:dyDescent="0.15">
      <c r="B35" s="71" t="s">
        <v>73</v>
      </c>
      <c r="C35" s="20" t="s">
        <v>4</v>
      </c>
      <c r="D35" s="565">
        <v>150</v>
      </c>
      <c r="E35" s="86" t="s">
        <v>468</v>
      </c>
      <c r="F35" s="47"/>
      <c r="G35" s="91"/>
      <c r="K35" s="110"/>
    </row>
    <row r="36" spans="1:21" ht="15.95" customHeight="1" x14ac:dyDescent="0.15">
      <c r="B36" s="71" t="s">
        <v>46</v>
      </c>
      <c r="C36" s="20" t="s">
        <v>4</v>
      </c>
      <c r="D36" s="565">
        <v>60</v>
      </c>
      <c r="E36" s="86" t="s">
        <v>468</v>
      </c>
      <c r="F36" s="47"/>
      <c r="G36" s="91"/>
      <c r="K36" s="110"/>
    </row>
    <row r="37" spans="1:21" ht="15.95" customHeight="1" x14ac:dyDescent="0.15">
      <c r="B37" s="71" t="s">
        <v>74</v>
      </c>
      <c r="C37" s="20" t="s">
        <v>4</v>
      </c>
      <c r="D37" s="565">
        <v>10</v>
      </c>
      <c r="E37" s="86" t="s">
        <v>468</v>
      </c>
      <c r="F37" s="47"/>
      <c r="G37" s="91"/>
      <c r="K37" s="110"/>
    </row>
    <row r="38" spans="1:21" ht="15.95" customHeight="1" x14ac:dyDescent="0.15">
      <c r="B38" s="71" t="s">
        <v>75</v>
      </c>
      <c r="C38" s="20" t="s">
        <v>4</v>
      </c>
      <c r="D38" s="565">
        <v>10</v>
      </c>
      <c r="E38" s="86" t="s">
        <v>468</v>
      </c>
      <c r="F38" s="47"/>
      <c r="G38" s="91"/>
      <c r="K38" s="110"/>
    </row>
    <row r="39" spans="1:21" ht="15.95" customHeight="1" x14ac:dyDescent="0.15">
      <c r="B39" s="71" t="s">
        <v>76</v>
      </c>
      <c r="C39" s="20" t="s">
        <v>4</v>
      </c>
      <c r="D39" s="23">
        <f>D41-D38</f>
        <v>47.5</v>
      </c>
      <c r="E39" s="86" t="s">
        <v>468</v>
      </c>
      <c r="F39" s="47"/>
      <c r="G39" s="91"/>
      <c r="K39" s="110"/>
      <c r="L39" s="81"/>
    </row>
    <row r="40" spans="1:21" ht="15.95" customHeight="1" x14ac:dyDescent="0.15">
      <c r="B40" s="71" t="s">
        <v>77</v>
      </c>
      <c r="C40" s="20" t="s">
        <v>4</v>
      </c>
      <c r="D40" s="23">
        <f>D36-D37</f>
        <v>50</v>
      </c>
      <c r="E40" s="86" t="s">
        <v>468</v>
      </c>
      <c r="F40" s="47"/>
      <c r="G40" s="91"/>
      <c r="K40" s="110"/>
      <c r="L40" s="81"/>
      <c r="M40" s="81"/>
      <c r="N40" s="112" t="s">
        <v>83</v>
      </c>
      <c r="O40" s="31" t="s">
        <v>4</v>
      </c>
      <c r="P40" s="113">
        <f>D35*D37+D40*D38</f>
        <v>2000</v>
      </c>
      <c r="Q40" s="114" t="s">
        <v>504</v>
      </c>
      <c r="U40" s="44"/>
    </row>
    <row r="41" spans="1:21" ht="15.95" customHeight="1" x14ac:dyDescent="0.15">
      <c r="B41" s="71" t="s">
        <v>364</v>
      </c>
      <c r="C41" s="20" t="s">
        <v>4</v>
      </c>
      <c r="D41" s="23">
        <f>(D37*D35^2+D40*D38^2)/(2*(D37*D35+D40*D38))</f>
        <v>57.5</v>
      </c>
      <c r="E41" s="86" t="s">
        <v>468</v>
      </c>
      <c r="F41" s="47"/>
      <c r="G41" s="91"/>
      <c r="K41" s="110"/>
      <c r="L41" s="81"/>
      <c r="M41" s="81"/>
      <c r="N41" s="112" t="s">
        <v>81</v>
      </c>
      <c r="O41" s="31" t="s">
        <v>4</v>
      </c>
      <c r="P41" s="120" t="s">
        <v>369</v>
      </c>
      <c r="Q41" s="114"/>
      <c r="U41" s="44"/>
    </row>
    <row r="42" spans="1:21" ht="15.95" customHeight="1" x14ac:dyDescent="0.15">
      <c r="B42" s="71" t="s">
        <v>365</v>
      </c>
      <c r="C42" s="20" t="s">
        <v>4</v>
      </c>
      <c r="D42" s="181">
        <f>D35-D41</f>
        <v>92.5</v>
      </c>
      <c r="E42" s="86" t="s">
        <v>468</v>
      </c>
      <c r="F42" s="47"/>
      <c r="G42" s="91"/>
      <c r="K42" s="110"/>
      <c r="L42" s="81"/>
      <c r="M42" s="81"/>
      <c r="N42" s="116"/>
      <c r="O42" s="31" t="s">
        <v>4</v>
      </c>
      <c r="P42" s="117">
        <f>(D35-D38)/D37</f>
        <v>14</v>
      </c>
      <c r="Q42" s="114"/>
      <c r="U42" s="44"/>
    </row>
    <row r="43" spans="1:21" ht="15.95" customHeight="1" x14ac:dyDescent="0.15">
      <c r="B43" s="71" t="s">
        <v>6</v>
      </c>
      <c r="C43" s="20" t="s">
        <v>4</v>
      </c>
      <c r="D43" s="176">
        <f>(((D35-D38)*D37^3)/12)+((D36^3*D38)/12)</f>
        <v>191666.66666666666</v>
      </c>
      <c r="E43" s="86" t="s">
        <v>469</v>
      </c>
      <c r="F43" s="47"/>
      <c r="G43" s="91"/>
      <c r="K43" s="110"/>
      <c r="L43" s="81"/>
      <c r="M43" s="81"/>
      <c r="N43" s="112" t="s">
        <v>82</v>
      </c>
      <c r="O43" s="31" t="s">
        <v>4</v>
      </c>
      <c r="P43" s="120" t="s">
        <v>370</v>
      </c>
      <c r="Q43" s="114"/>
      <c r="U43" s="44"/>
    </row>
    <row r="44" spans="1:21" ht="15.95" customHeight="1" thickBot="1" x14ac:dyDescent="0.2">
      <c r="B44" s="87" t="s">
        <v>38</v>
      </c>
      <c r="C44" s="33" t="s">
        <v>4</v>
      </c>
      <c r="D44" s="183">
        <f>D43/(D36/2)</f>
        <v>6388.8888888888887</v>
      </c>
      <c r="E44" s="88" t="s">
        <v>470</v>
      </c>
      <c r="F44" s="47"/>
      <c r="G44" s="94"/>
      <c r="H44" s="93"/>
      <c r="I44" s="93"/>
      <c r="J44" s="93"/>
      <c r="K44" s="141"/>
      <c r="L44" s="81"/>
      <c r="M44" s="81"/>
      <c r="N44" s="116"/>
      <c r="O44" s="31" t="s">
        <v>4</v>
      </c>
      <c r="P44" s="117">
        <f>(D40/2)/D38</f>
        <v>2.5</v>
      </c>
      <c r="Q44" s="114"/>
      <c r="U44" s="44"/>
    </row>
    <row r="45" spans="1:21" ht="15.95" customHeight="1" x14ac:dyDescent="0.15">
      <c r="B45" s="47"/>
      <c r="C45" s="47"/>
      <c r="D45" s="47"/>
      <c r="E45" s="47"/>
      <c r="F45" s="47"/>
      <c r="L45" s="81"/>
      <c r="U45" s="44"/>
    </row>
    <row r="46" spans="1:21" ht="15.95" customHeight="1" x14ac:dyDescent="0.15">
      <c r="B46" s="708" t="s">
        <v>1000</v>
      </c>
      <c r="C46" s="708"/>
      <c r="D46" s="708"/>
      <c r="E46" s="708"/>
      <c r="F46" s="708"/>
      <c r="G46" s="708"/>
      <c r="H46" s="708"/>
      <c r="I46" s="708"/>
      <c r="J46" s="708"/>
      <c r="K46" s="708"/>
      <c r="L46" s="81"/>
    </row>
    <row r="47" spans="1:21" s="12" customFormat="1" ht="15.95" hidden="1" customHeight="1" x14ac:dyDescent="0.15">
      <c r="A47" s="129"/>
      <c r="B47" s="129" t="s">
        <v>384</v>
      </c>
    </row>
    <row r="48" spans="1:21" s="12" customFormat="1" ht="15.95" hidden="1" customHeight="1" x14ac:dyDescent="0.15"/>
    <row r="49" spans="1:9" s="12" customFormat="1" ht="15.95" hidden="1" customHeight="1" x14ac:dyDescent="0.15">
      <c r="B49" s="130"/>
    </row>
    <row r="50" spans="1:9" s="12" customFormat="1" ht="15.95" hidden="1" customHeight="1" x14ac:dyDescent="0.15">
      <c r="A50" s="131"/>
    </row>
    <row r="51" spans="1:9" s="12" customFormat="1" ht="15.95" hidden="1" customHeight="1" x14ac:dyDescent="0.15">
      <c r="A51" s="131"/>
    </row>
    <row r="52" spans="1:9" s="12" customFormat="1" ht="15.95" hidden="1" customHeight="1" x14ac:dyDescent="0.15">
      <c r="A52" s="131"/>
    </row>
    <row r="53" spans="1:9" s="12" customFormat="1" ht="15.95" hidden="1" customHeight="1" x14ac:dyDescent="0.15">
      <c r="A53" s="131"/>
    </row>
    <row r="54" spans="1:9" s="12" customFormat="1" ht="15.95" hidden="1" customHeight="1" x14ac:dyDescent="0.15">
      <c r="A54" s="131"/>
      <c r="G54" s="36"/>
    </row>
    <row r="55" spans="1:9" s="12" customFormat="1" ht="15.95" hidden="1" customHeight="1" x14ac:dyDescent="0.15">
      <c r="A55" s="131"/>
      <c r="G55" s="98"/>
    </row>
    <row r="56" spans="1:9" s="12" customFormat="1" ht="15.95" hidden="1" customHeight="1" x14ac:dyDescent="0.15">
      <c r="A56" s="131"/>
      <c r="G56" s="36"/>
    </row>
    <row r="57" spans="1:9" s="12" customFormat="1" ht="15.95" hidden="1" customHeight="1" x14ac:dyDescent="0.15">
      <c r="A57" s="131"/>
      <c r="G57" s="36"/>
    </row>
    <row r="58" spans="1:9" s="12" customFormat="1" ht="15.95" hidden="1" customHeight="1" x14ac:dyDescent="0.15">
      <c r="A58" s="131"/>
      <c r="G58" s="36"/>
      <c r="I58" s="131"/>
    </row>
    <row r="59" spans="1:9" s="12" customFormat="1" ht="15.95" hidden="1" customHeight="1" x14ac:dyDescent="0.15">
      <c r="B59" s="24" t="s">
        <v>91</v>
      </c>
      <c r="G59" s="36"/>
    </row>
    <row r="60" spans="1:9" s="12" customFormat="1" ht="15.95" hidden="1" customHeight="1" x14ac:dyDescent="0.15">
      <c r="G60" s="78"/>
    </row>
    <row r="61" spans="1:9" s="12" customFormat="1" ht="15.95" hidden="1" customHeight="1" x14ac:dyDescent="0.15">
      <c r="B61" s="36" t="s">
        <v>85</v>
      </c>
      <c r="C61" s="20" t="s">
        <v>4</v>
      </c>
      <c r="D61" s="36" t="s">
        <v>86</v>
      </c>
      <c r="E61" s="20" t="s">
        <v>4</v>
      </c>
      <c r="F61" s="36" t="s">
        <v>388</v>
      </c>
      <c r="G61" s="20" t="s">
        <v>9</v>
      </c>
      <c r="H61" s="36" t="s">
        <v>101</v>
      </c>
      <c r="I61" s="36"/>
    </row>
    <row r="62" spans="1:9" s="12" customFormat="1" ht="15.95" hidden="1" customHeight="1" x14ac:dyDescent="0.15">
      <c r="B62" s="36" t="s">
        <v>385</v>
      </c>
      <c r="C62" s="20" t="s">
        <v>4</v>
      </c>
      <c r="D62" s="36" t="s">
        <v>389</v>
      </c>
      <c r="E62" s="20" t="s">
        <v>4</v>
      </c>
      <c r="F62" s="36" t="s">
        <v>388</v>
      </c>
      <c r="G62" s="20" t="s">
        <v>9</v>
      </c>
      <c r="H62" s="36" t="s">
        <v>386</v>
      </c>
      <c r="I62" s="36"/>
    </row>
    <row r="63" spans="1:9" s="12" customFormat="1" ht="15.95" hidden="1" customHeight="1" x14ac:dyDescent="0.15">
      <c r="B63" s="36" t="s">
        <v>65</v>
      </c>
      <c r="C63" s="20" t="s">
        <v>4</v>
      </c>
      <c r="D63" s="36" t="s">
        <v>387</v>
      </c>
      <c r="E63" s="36"/>
      <c r="G63" s="20" t="s">
        <v>9</v>
      </c>
      <c r="H63" s="36" t="s">
        <v>102</v>
      </c>
      <c r="I63" s="36"/>
    </row>
    <row r="64" spans="1:9" s="12" customFormat="1" ht="15.95" hidden="1" customHeight="1" x14ac:dyDescent="0.15">
      <c r="B64" s="78" t="s">
        <v>120</v>
      </c>
      <c r="C64" s="20" t="s">
        <v>4</v>
      </c>
      <c r="D64" s="36" t="s">
        <v>390</v>
      </c>
      <c r="E64" s="36"/>
      <c r="G64" s="20" t="s">
        <v>9</v>
      </c>
      <c r="H64" s="36" t="s">
        <v>103</v>
      </c>
      <c r="I64" s="36"/>
    </row>
    <row r="65" spans="1:13" s="12" customFormat="1" ht="15.95" hidden="1" customHeight="1" x14ac:dyDescent="0.15">
      <c r="H65" s="20"/>
      <c r="I65" s="36"/>
    </row>
    <row r="66" spans="1:13" s="12" customFormat="1" ht="15.95" hidden="1" customHeight="1" x14ac:dyDescent="0.15"/>
    <row r="67" spans="1:13" s="12" customFormat="1" ht="15.95" hidden="1" customHeight="1" x14ac:dyDescent="0.15">
      <c r="A67" s="131"/>
      <c r="B67" s="24" t="s">
        <v>92</v>
      </c>
    </row>
    <row r="68" spans="1:13" s="12" customFormat="1" ht="15.95" hidden="1" customHeight="1" x14ac:dyDescent="0.15"/>
    <row r="69" spans="1:13" s="12" customFormat="1" ht="15.95" hidden="1" customHeight="1" x14ac:dyDescent="0.15">
      <c r="B69" s="136" t="s">
        <v>2</v>
      </c>
      <c r="C69" s="27" t="s">
        <v>4</v>
      </c>
      <c r="D69" s="167">
        <f>D9</f>
        <v>5000</v>
      </c>
      <c r="E69" s="12" t="s">
        <v>458</v>
      </c>
      <c r="G69" s="20" t="s">
        <v>9</v>
      </c>
      <c r="H69" s="36" t="s">
        <v>404</v>
      </c>
      <c r="J69" s="36"/>
      <c r="K69" s="36"/>
    </row>
    <row r="70" spans="1:13" s="12" customFormat="1" ht="15.95" hidden="1" customHeight="1" x14ac:dyDescent="0.15">
      <c r="B70" s="137" t="s">
        <v>3</v>
      </c>
      <c r="C70" s="27" t="s">
        <v>4</v>
      </c>
      <c r="D70" s="167">
        <f>(D7+D8)/2</f>
        <v>1200</v>
      </c>
      <c r="E70" s="12" t="s">
        <v>458</v>
      </c>
      <c r="G70" s="20" t="s">
        <v>9</v>
      </c>
      <c r="H70" s="36" t="s">
        <v>391</v>
      </c>
      <c r="J70" s="20"/>
      <c r="K70" s="36"/>
    </row>
    <row r="71" spans="1:13" s="12" customFormat="1" ht="15.95" hidden="1" customHeight="1" x14ac:dyDescent="0.15">
      <c r="B71" s="137" t="s">
        <v>1132</v>
      </c>
      <c r="C71" s="27" t="s">
        <v>4</v>
      </c>
      <c r="D71" s="24">
        <f>0.7*ABS(D5*D70/10^3)</f>
        <v>0.12867008000000002</v>
      </c>
      <c r="E71" s="24" t="s">
        <v>477</v>
      </c>
      <c r="F71" s="130"/>
      <c r="G71" s="20" t="s">
        <v>9</v>
      </c>
      <c r="H71" s="36" t="s">
        <v>382</v>
      </c>
      <c r="J71" s="20"/>
      <c r="K71" s="36"/>
    </row>
    <row r="72" spans="1:13" s="12" customFormat="1" ht="15.95" hidden="1" customHeight="1" x14ac:dyDescent="0.15">
      <c r="B72" s="137" t="s">
        <v>5</v>
      </c>
      <c r="C72" s="27" t="s">
        <v>4</v>
      </c>
      <c r="D72" s="167">
        <f>D6</f>
        <v>210000</v>
      </c>
      <c r="E72" s="43" t="s">
        <v>457</v>
      </c>
      <c r="G72" s="20" t="s">
        <v>9</v>
      </c>
      <c r="H72" s="36" t="s">
        <v>95</v>
      </c>
      <c r="J72" s="20"/>
      <c r="K72" s="36"/>
    </row>
    <row r="73" spans="1:13" s="12" customFormat="1" ht="15.95" hidden="1" customHeight="1" x14ac:dyDescent="0.15">
      <c r="B73" s="137" t="s">
        <v>10</v>
      </c>
      <c r="C73" s="27" t="s">
        <v>4</v>
      </c>
      <c r="D73" s="167">
        <f>D43</f>
        <v>191666.66666666666</v>
      </c>
      <c r="E73" s="12" t="s">
        <v>475</v>
      </c>
      <c r="G73" s="20" t="s">
        <v>9</v>
      </c>
      <c r="H73" s="36" t="s">
        <v>96</v>
      </c>
      <c r="J73" s="20"/>
      <c r="K73" s="36"/>
    </row>
    <row r="74" spans="1:13" s="12" customFormat="1" ht="15.95" hidden="1" customHeight="1" x14ac:dyDescent="0.15">
      <c r="J74" s="20"/>
      <c r="K74" s="36"/>
    </row>
    <row r="75" spans="1:13" s="12" customFormat="1" ht="15.95" hidden="1" customHeight="1" x14ac:dyDescent="0.15">
      <c r="A75" s="25"/>
      <c r="B75" s="24" t="s">
        <v>104</v>
      </c>
      <c r="J75" s="20"/>
      <c r="K75" s="36"/>
    </row>
    <row r="76" spans="1:13" s="12" customFormat="1" ht="15.95" hidden="1" customHeight="1" x14ac:dyDescent="0.15">
      <c r="J76" s="20"/>
      <c r="K76" s="36"/>
      <c r="L76" s="133"/>
      <c r="M76" s="131"/>
    </row>
    <row r="77" spans="1:13" s="12" customFormat="1" ht="15.95" hidden="1" customHeight="1" x14ac:dyDescent="0.15">
      <c r="A77" s="12" t="s">
        <v>1</v>
      </c>
      <c r="B77" s="36" t="s">
        <v>85</v>
      </c>
      <c r="C77" s="27" t="s">
        <v>4</v>
      </c>
      <c r="D77" s="36" t="s">
        <v>388</v>
      </c>
      <c r="G77" s="36"/>
      <c r="K77" s="36"/>
    </row>
    <row r="78" spans="1:13" s="12" customFormat="1" ht="15.95" hidden="1" customHeight="1" x14ac:dyDescent="0.15">
      <c r="B78" s="130"/>
      <c r="C78" s="27" t="s">
        <v>4</v>
      </c>
      <c r="D78" s="172">
        <f>D71*D69/2</f>
        <v>321.67520000000007</v>
      </c>
      <c r="E78" s="24" t="s">
        <v>476</v>
      </c>
      <c r="G78" s="36"/>
      <c r="K78" s="36"/>
    </row>
    <row r="79" spans="1:13" s="12" customFormat="1" ht="15.95" hidden="1" customHeight="1" x14ac:dyDescent="0.15">
      <c r="B79" s="131"/>
      <c r="C79" s="134"/>
      <c r="D79" s="132"/>
      <c r="G79" s="36"/>
      <c r="K79" s="36"/>
    </row>
    <row r="80" spans="1:13" s="12" customFormat="1" ht="15.95" hidden="1" customHeight="1" x14ac:dyDescent="0.15">
      <c r="B80" s="36" t="s">
        <v>385</v>
      </c>
      <c r="C80" s="27" t="s">
        <v>4</v>
      </c>
      <c r="D80" s="36" t="s">
        <v>388</v>
      </c>
      <c r="G80" s="78"/>
      <c r="K80" s="36"/>
    </row>
    <row r="81" spans="2:21" s="12" customFormat="1" ht="15.95" hidden="1" customHeight="1" x14ac:dyDescent="0.15">
      <c r="B81" s="135"/>
      <c r="C81" s="27" t="s">
        <v>4</v>
      </c>
      <c r="D81" s="172">
        <f>D71*D69/2</f>
        <v>321.67520000000007</v>
      </c>
      <c r="E81" s="24" t="s">
        <v>476</v>
      </c>
      <c r="K81" s="36"/>
    </row>
    <row r="82" spans="2:21" s="12" customFormat="1" ht="15.95" hidden="1" customHeight="1" x14ac:dyDescent="0.15">
      <c r="B82" s="135"/>
      <c r="C82" s="134"/>
      <c r="D82" s="30"/>
      <c r="K82" s="36"/>
    </row>
    <row r="83" spans="2:21" s="12" customFormat="1" ht="15.95" hidden="1" customHeight="1" x14ac:dyDescent="0.15">
      <c r="B83" s="36" t="s">
        <v>65</v>
      </c>
      <c r="C83" s="27" t="s">
        <v>4</v>
      </c>
      <c r="D83" s="36" t="s">
        <v>387</v>
      </c>
      <c r="F83" s="36"/>
      <c r="K83" s="36"/>
      <c r="N83" s="172"/>
      <c r="O83" s="43"/>
    </row>
    <row r="84" spans="2:21" s="12" customFormat="1" ht="15.95" hidden="1" customHeight="1" x14ac:dyDescent="0.15">
      <c r="C84" s="27" t="s">
        <v>4</v>
      </c>
      <c r="D84" s="172">
        <f>D71*D69^2/8</f>
        <v>402094.00000000006</v>
      </c>
      <c r="E84" s="43" t="s">
        <v>497</v>
      </c>
      <c r="F84" s="36"/>
      <c r="K84" s="36"/>
      <c r="N84" s="334"/>
    </row>
    <row r="85" spans="2:21" s="12" customFormat="1" ht="15.95" hidden="1" customHeight="1" x14ac:dyDescent="0.15">
      <c r="B85" s="135"/>
      <c r="C85" s="134"/>
      <c r="D85" s="30"/>
      <c r="K85" s="36"/>
    </row>
    <row r="86" spans="2:21" s="12" customFormat="1" ht="15.95" hidden="1" customHeight="1" x14ac:dyDescent="0.15">
      <c r="B86" s="78" t="s">
        <v>120</v>
      </c>
      <c r="C86" s="27" t="s">
        <v>4</v>
      </c>
      <c r="D86" s="36" t="s">
        <v>390</v>
      </c>
      <c r="K86" s="36"/>
      <c r="N86" s="332"/>
      <c r="O86" s="43"/>
    </row>
    <row r="87" spans="2:21" s="12" customFormat="1" ht="15.95" hidden="1" customHeight="1" x14ac:dyDescent="0.15">
      <c r="B87" s="135"/>
      <c r="C87" s="27" t="s">
        <v>4</v>
      </c>
      <c r="D87" s="79">
        <f>(5*D71*D69^4)/(384*D72*D73)</f>
        <v>26.01539855072464</v>
      </c>
      <c r="E87" s="24" t="s">
        <v>458</v>
      </c>
      <c r="K87" s="36"/>
      <c r="N87" s="334"/>
    </row>
    <row r="88" spans="2:21" ht="15.95" hidden="1" customHeight="1" x14ac:dyDescent="0.15">
      <c r="B88" s="127"/>
      <c r="C88" s="20"/>
      <c r="D88" s="127"/>
      <c r="H88" s="43"/>
      <c r="K88" s="36"/>
    </row>
    <row r="89" spans="2:21" ht="15.95" hidden="1" customHeight="1" x14ac:dyDescent="0.15">
      <c r="C89" s="20"/>
      <c r="D89" s="30"/>
      <c r="E89" s="43"/>
      <c r="K89" s="36"/>
    </row>
    <row r="90" spans="2:21" ht="15.95" hidden="1" customHeight="1" x14ac:dyDescent="0.15">
      <c r="B90" s="128"/>
      <c r="C90" s="20"/>
      <c r="D90" s="127"/>
      <c r="H90" s="43"/>
      <c r="J90" s="43"/>
      <c r="K90" s="36"/>
    </row>
    <row r="91" spans="2:21" ht="15.95" hidden="1" customHeight="1" x14ac:dyDescent="0.15">
      <c r="B91" s="68"/>
      <c r="C91" s="20"/>
      <c r="D91" s="34"/>
      <c r="E91" s="43"/>
      <c r="K91" s="36"/>
    </row>
    <row r="92" spans="2:21" ht="15.95" hidden="1" customHeight="1" x14ac:dyDescent="0.15">
      <c r="B92" s="68"/>
      <c r="C92" s="20"/>
      <c r="K92" s="36"/>
    </row>
    <row r="93" spans="2:21" ht="15.95" hidden="1" customHeight="1" x14ac:dyDescent="0.15">
      <c r="B93" s="77" t="s">
        <v>144</v>
      </c>
    </row>
    <row r="94" spans="2:21" ht="15.95" hidden="1" customHeight="1" x14ac:dyDescent="0.15">
      <c r="B94" s="77"/>
      <c r="D94" s="38"/>
      <c r="O94" s="118"/>
      <c r="Q94" s="118"/>
      <c r="S94" s="118"/>
      <c r="U94" s="118"/>
    </row>
    <row r="95" spans="2:21" ht="15.95" hidden="1" customHeight="1" x14ac:dyDescent="0.15">
      <c r="B95" s="36" t="s">
        <v>65</v>
      </c>
      <c r="C95" s="20" t="s">
        <v>4</v>
      </c>
      <c r="D95" s="172">
        <f>D84</f>
        <v>402094.00000000006</v>
      </c>
      <c r="E95" s="12" t="s">
        <v>498</v>
      </c>
      <c r="G95" s="20" t="s">
        <v>9</v>
      </c>
      <c r="H95" s="36" t="s">
        <v>137</v>
      </c>
    </row>
    <row r="96" spans="2:21" ht="15.95" hidden="1" customHeight="1" x14ac:dyDescent="0.15">
      <c r="B96" s="35"/>
    </row>
    <row r="97" spans="2:15" ht="15.95" hidden="1" customHeight="1" x14ac:dyDescent="0.15">
      <c r="B97" s="36" t="s">
        <v>996</v>
      </c>
      <c r="C97" s="20" t="s">
        <v>4</v>
      </c>
      <c r="D97" s="172">
        <f>D44</f>
        <v>6388.8888888888887</v>
      </c>
      <c r="E97" s="12" t="s">
        <v>502</v>
      </c>
      <c r="G97" s="20" t="s">
        <v>9</v>
      </c>
      <c r="H97" s="36" t="s">
        <v>138</v>
      </c>
    </row>
    <row r="98" spans="2:15" ht="15.95" hidden="1" customHeight="1" x14ac:dyDescent="0.15">
      <c r="C98" s="20"/>
    </row>
    <row r="99" spans="2:15" ht="15.95" hidden="1" customHeight="1" x14ac:dyDescent="0.15">
      <c r="B99" s="35" t="s">
        <v>132</v>
      </c>
      <c r="D99" s="28"/>
    </row>
    <row r="100" spans="2:15" ht="15.95" hidden="1" customHeight="1" x14ac:dyDescent="0.15"/>
    <row r="101" spans="2:15" ht="15.95" hidden="1" customHeight="1" x14ac:dyDescent="0.15">
      <c r="B101" s="36" t="s">
        <v>135</v>
      </c>
      <c r="C101" s="20" t="s">
        <v>4</v>
      </c>
      <c r="D101" s="36" t="s">
        <v>1129</v>
      </c>
    </row>
    <row r="102" spans="2:15" ht="15.95" hidden="1" customHeight="1" x14ac:dyDescent="0.15">
      <c r="C102" s="20" t="s">
        <v>4</v>
      </c>
      <c r="D102" s="29">
        <f>D95/D97</f>
        <v>62.936452173913054</v>
      </c>
      <c r="E102" s="29" t="s">
        <v>457</v>
      </c>
    </row>
    <row r="103" spans="2:15" ht="15.95" hidden="1" customHeight="1" x14ac:dyDescent="0.15"/>
    <row r="104" spans="2:15" ht="15.95" hidden="1" customHeight="1" x14ac:dyDescent="0.15">
      <c r="B104" s="35" t="s">
        <v>133</v>
      </c>
    </row>
    <row r="105" spans="2:15" ht="15.95" hidden="1" customHeight="1" x14ac:dyDescent="0.15">
      <c r="B105" s="35"/>
      <c r="G105" s="20"/>
      <c r="H105" s="36"/>
      <c r="M105" s="352">
        <f>M1</f>
        <v>1</v>
      </c>
      <c r="N105" s="12"/>
      <c r="O105" s="47"/>
    </row>
    <row r="106" spans="2:15" ht="15.95" hidden="1" customHeight="1" x14ac:dyDescent="0.15">
      <c r="B106" s="36" t="s">
        <v>140</v>
      </c>
      <c r="C106" s="20" t="s">
        <v>4</v>
      </c>
      <c r="D106" s="29">
        <v>275</v>
      </c>
      <c r="E106" s="29" t="s">
        <v>457</v>
      </c>
      <c r="G106" s="20" t="s">
        <v>9</v>
      </c>
      <c r="H106" s="36" t="s">
        <v>649</v>
      </c>
      <c r="M106" s="350">
        <v>1</v>
      </c>
      <c r="N106" s="351">
        <v>275</v>
      </c>
      <c r="O106" s="349" t="s">
        <v>649</v>
      </c>
    </row>
    <row r="107" spans="2:15" ht="15.95" hidden="1" customHeight="1" x14ac:dyDescent="0.15">
      <c r="B107" s="36" t="s">
        <v>319</v>
      </c>
      <c r="C107" s="20" t="s">
        <v>4</v>
      </c>
      <c r="D107" s="80" t="s">
        <v>650</v>
      </c>
      <c r="E107" s="36"/>
      <c r="M107" s="350">
        <v>2</v>
      </c>
      <c r="N107" s="351">
        <v>205</v>
      </c>
      <c r="O107" s="349" t="s">
        <v>885</v>
      </c>
    </row>
    <row r="108" spans="2:15" ht="15.95" hidden="1" customHeight="1" x14ac:dyDescent="0.15">
      <c r="B108" s="38"/>
      <c r="C108" s="20" t="s">
        <v>4</v>
      </c>
      <c r="D108" s="29">
        <f>0.66*D106</f>
        <v>181.5</v>
      </c>
      <c r="E108" s="29" t="s">
        <v>457</v>
      </c>
    </row>
    <row r="109" spans="2:15" ht="15.95" hidden="1" customHeight="1" x14ac:dyDescent="0.15"/>
    <row r="110" spans="2:15" ht="15.95" hidden="1" customHeight="1" x14ac:dyDescent="0.15">
      <c r="B110" s="35" t="s">
        <v>142</v>
      </c>
    </row>
    <row r="111" spans="2:15" ht="15.95" hidden="1" customHeight="1" x14ac:dyDescent="0.15">
      <c r="B111" s="35"/>
    </row>
    <row r="112" spans="2:15" ht="15.95" hidden="1" customHeight="1" x14ac:dyDescent="0.15">
      <c r="B112" s="36" t="s">
        <v>143</v>
      </c>
      <c r="C112" s="20" t="s">
        <v>4</v>
      </c>
      <c r="D112" s="38">
        <f>D102/D108</f>
        <v>0.34675731225296447</v>
      </c>
      <c r="E112" s="39" t="str">
        <f>IF(D112&gt;F112,"&gt;","&lt;")</f>
        <v>&lt;</v>
      </c>
      <c r="F112" s="19">
        <v>1</v>
      </c>
      <c r="G112" s="107" t="str">
        <f>IF(D112&lt;F112,"O.K.","N.G.")</f>
        <v>O.K.</v>
      </c>
    </row>
    <row r="113" spans="2:14" ht="15.95" hidden="1" customHeight="1" x14ac:dyDescent="0.15">
      <c r="B113" s="36"/>
      <c r="C113" s="20"/>
      <c r="D113" s="38"/>
      <c r="E113" s="39"/>
      <c r="F113" s="19"/>
    </row>
    <row r="114" spans="2:14" ht="15.95" hidden="1" customHeight="1" x14ac:dyDescent="0.15">
      <c r="B114" s="36"/>
      <c r="C114" s="20"/>
      <c r="D114" s="38"/>
      <c r="E114" s="39"/>
      <c r="F114" s="19"/>
    </row>
    <row r="115" spans="2:14" ht="15.95" hidden="1" customHeight="1" x14ac:dyDescent="0.15">
      <c r="B115" s="40" t="s">
        <v>145</v>
      </c>
    </row>
    <row r="116" spans="2:14" ht="15.95" hidden="1" customHeight="1" x14ac:dyDescent="0.15"/>
    <row r="117" spans="2:14" ht="15.95" hidden="1" customHeight="1" x14ac:dyDescent="0.15">
      <c r="B117" s="35" t="s">
        <v>147</v>
      </c>
    </row>
    <row r="118" spans="2:14" ht="15.95" hidden="1" customHeight="1" x14ac:dyDescent="0.15">
      <c r="B118" s="35"/>
    </row>
    <row r="119" spans="2:14" ht="15.95" hidden="1" customHeight="1" x14ac:dyDescent="0.15">
      <c r="B119" s="78" t="s">
        <v>120</v>
      </c>
      <c r="C119" s="20" t="s">
        <v>4</v>
      </c>
      <c r="D119" s="24">
        <f>D16</f>
        <v>26.01539855072464</v>
      </c>
      <c r="E119" s="29" t="s">
        <v>479</v>
      </c>
    </row>
    <row r="120" spans="2:14" ht="15.95" hidden="1" customHeight="1" x14ac:dyDescent="0.15"/>
    <row r="121" spans="2:14" ht="15.95" hidden="1" customHeight="1" x14ac:dyDescent="0.15"/>
    <row r="122" spans="2:14" ht="15.95" hidden="1" customHeight="1" x14ac:dyDescent="0.15">
      <c r="B122" s="35" t="s">
        <v>146</v>
      </c>
      <c r="E122" s="42" t="s">
        <v>150</v>
      </c>
    </row>
    <row r="123" spans="2:14" ht="15.95" hidden="1" customHeight="1" x14ac:dyDescent="0.15">
      <c r="B123" s="35"/>
    </row>
    <row r="124" spans="2:14" ht="15.95" hidden="1" customHeight="1" x14ac:dyDescent="0.15">
      <c r="B124" s="78" t="s">
        <v>2</v>
      </c>
      <c r="C124" s="20" t="s">
        <v>4</v>
      </c>
      <c r="D124" s="167">
        <f>D9</f>
        <v>5000</v>
      </c>
      <c r="E124" s="24" t="str">
        <f>IF(D124&gt;4110,"mm      &gt;     4110 mm","mm     ≤     4110 mm")</f>
        <v>mm      &gt;     4110 mm</v>
      </c>
    </row>
    <row r="125" spans="2:14" ht="15.95" hidden="1" customHeight="1" x14ac:dyDescent="0.15">
      <c r="B125" s="78" t="s">
        <v>148</v>
      </c>
      <c r="C125" s="20" t="s">
        <v>4</v>
      </c>
      <c r="D125" s="177">
        <f>D124</f>
        <v>5000</v>
      </c>
      <c r="E125" s="35" t="str">
        <f>IF(D124&lt;4110,"mm      /     175","mm      /      240 + 6.35 mm ")</f>
        <v xml:space="preserve">mm      /      240 + 6.35 mm </v>
      </c>
    </row>
    <row r="126" spans="2:14" ht="15.95" hidden="1" customHeight="1" x14ac:dyDescent="0.15">
      <c r="B126" s="38"/>
      <c r="C126" s="20" t="s">
        <v>4</v>
      </c>
      <c r="D126" s="38">
        <f>IF(D124&gt;4110,N126,N127)</f>
        <v>27.18333333333333</v>
      </c>
      <c r="E126" s="24" t="s">
        <v>468</v>
      </c>
      <c r="M126" s="43" t="s">
        <v>151</v>
      </c>
      <c r="N126" s="41">
        <f>D124/240+6.35</f>
        <v>27.18333333333333</v>
      </c>
    </row>
    <row r="127" spans="2:14" ht="15.95" hidden="1" customHeight="1" x14ac:dyDescent="0.15">
      <c r="M127" s="43" t="s">
        <v>152</v>
      </c>
      <c r="N127" s="41">
        <f>D124/175</f>
        <v>28.571428571428573</v>
      </c>
    </row>
    <row r="128" spans="2:14" ht="15.95" hidden="1" customHeight="1" x14ac:dyDescent="0.15"/>
    <row r="129" spans="1:21" ht="15.95" hidden="1" customHeight="1" x14ac:dyDescent="0.15">
      <c r="B129" s="35" t="s">
        <v>153</v>
      </c>
    </row>
    <row r="130" spans="1:21" ht="15.95" hidden="1" customHeight="1" x14ac:dyDescent="0.15">
      <c r="A130" s="43"/>
      <c r="B130" s="20"/>
      <c r="C130" s="43"/>
      <c r="D130" s="43"/>
      <c r="E130" s="43"/>
      <c r="F130" s="43"/>
      <c r="G130" s="43"/>
      <c r="H130" s="43"/>
      <c r="I130" s="43"/>
      <c r="J130" s="43"/>
      <c r="K130" s="43"/>
      <c r="L130" s="43"/>
    </row>
    <row r="131" spans="1:21" ht="15.95" hidden="1" customHeight="1" x14ac:dyDescent="0.15">
      <c r="B131" s="36" t="s">
        <v>359</v>
      </c>
      <c r="C131" s="20" t="s">
        <v>4</v>
      </c>
      <c r="D131" s="38">
        <f>D119/(D126)</f>
        <v>0.95703489456988267</v>
      </c>
      <c r="E131" s="39" t="str">
        <f>IF(D131&gt;F131,"&gt;","&lt;")</f>
        <v>&lt;</v>
      </c>
      <c r="F131" s="19">
        <v>1</v>
      </c>
      <c r="G131" s="107" t="str">
        <f>IF(D131&lt;F131,"O.K.","N.G.")</f>
        <v>O.K.</v>
      </c>
      <c r="H131" s="20"/>
      <c r="I131" s="43"/>
      <c r="J131" s="43"/>
      <c r="K131" s="43"/>
      <c r="L131" s="43"/>
    </row>
    <row r="132" spans="1:21" s="20" customFormat="1" ht="15.95" hidden="1" customHeight="1" x14ac:dyDescent="0.15">
      <c r="A132" s="24"/>
      <c r="B132" s="24"/>
      <c r="C132" s="24"/>
      <c r="D132" s="24"/>
      <c r="E132" s="24"/>
      <c r="F132" s="24"/>
      <c r="G132" s="24"/>
      <c r="H132" s="24"/>
      <c r="I132" s="24"/>
      <c r="J132" s="24"/>
      <c r="K132" s="24"/>
      <c r="L132" s="24"/>
      <c r="M132" s="43"/>
      <c r="O132" s="24"/>
      <c r="P132" s="24"/>
      <c r="Q132" s="24"/>
      <c r="R132" s="24"/>
      <c r="S132" s="24"/>
      <c r="T132" s="24"/>
      <c r="U132" s="24"/>
    </row>
    <row r="133" spans="1:21" s="20" customFormat="1" ht="15.95" customHeight="1" x14ac:dyDescent="0.15">
      <c r="A133" s="24"/>
      <c r="B133" s="24"/>
      <c r="C133" s="24"/>
      <c r="D133" s="24"/>
      <c r="E133" s="24"/>
      <c r="F133" s="24"/>
      <c r="G133" s="24"/>
      <c r="H133" s="24"/>
      <c r="I133" s="24"/>
      <c r="J133" s="24"/>
      <c r="K133" s="24"/>
      <c r="L133" s="24"/>
      <c r="M133" s="43"/>
      <c r="O133" s="24"/>
      <c r="P133" s="24"/>
      <c r="Q133" s="24"/>
      <c r="R133" s="24"/>
      <c r="S133" s="24"/>
      <c r="T133" s="24"/>
      <c r="U133" s="24"/>
    </row>
  </sheetData>
  <sheetProtection algorithmName="SHA-512" hashValue="9csSLmzD224C3uxDio6XiJR/HY0ri7Wdono5TQ1ZAixiVZn6CD63jzf1ANOT17U7/Ca2M3W0QW/ACR2QmNrEeA==" saltValue="5MFLOJ0kbUf5wxh8MKLRog==" spinCount="100000" sheet="1" objects="1" scenarios="1" selectLockedCells="1"/>
  <protectedRanges>
    <protectedRange sqref="D7:D10" name="범위1_2"/>
    <protectedRange sqref="D35:D38" name="범위1_1_1"/>
  </protectedRanges>
  <mergeCells count="5">
    <mergeCell ref="M6:N6"/>
    <mergeCell ref="N12:N13"/>
    <mergeCell ref="O12:O13"/>
    <mergeCell ref="B22:E32"/>
    <mergeCell ref="B46:K46"/>
  </mergeCells>
  <phoneticPr fontId="2" type="noConversion"/>
  <pageMargins left="0.51181102362204722" right="0.51181102362204722" top="0.78740157480314965" bottom="0.59055118110236227" header="0.39370078740157483" footer="0.39370078740157483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>
    <tabColor rgb="FF7030A0"/>
  </sheetPr>
  <dimension ref="A1:X145"/>
  <sheetViews>
    <sheetView tabSelected="1" view="pageBreakPreview" zoomScaleNormal="100" zoomScaleSheetLayoutView="100" workbookViewId="0">
      <selection activeCell="F12" sqref="F12"/>
    </sheetView>
  </sheetViews>
  <sheetFormatPr defaultColWidth="5.77734375" defaultRowHeight="20.100000000000001" customHeight="1" x14ac:dyDescent="0.15"/>
  <cols>
    <col min="1" max="2" width="2.77734375" style="17" customWidth="1"/>
    <col min="3" max="9" width="7.33203125" style="17" customWidth="1"/>
    <col min="10" max="11" width="7.33203125" style="18" customWidth="1"/>
    <col min="12" max="12" width="5.33203125" style="18" customWidth="1"/>
    <col min="13" max="13" width="2.77734375" style="18" customWidth="1"/>
    <col min="14" max="20" width="6.77734375" style="17" customWidth="1"/>
    <col min="21" max="24" width="7.5546875" style="17" customWidth="1"/>
    <col min="25" max="16384" width="5.77734375" style="17"/>
  </cols>
  <sheetData>
    <row r="1" spans="1:21" s="2" customFormat="1" ht="20.100000000000001" customHeight="1" x14ac:dyDescent="0.15">
      <c r="A1" s="1"/>
      <c r="B1" s="692" t="s">
        <v>412</v>
      </c>
      <c r="C1" s="692"/>
      <c r="D1" s="692"/>
      <c r="E1" s="692"/>
      <c r="F1" s="692"/>
      <c r="G1" s="692"/>
      <c r="H1" s="692"/>
      <c r="I1" s="692"/>
      <c r="J1" s="692"/>
      <c r="K1" s="692"/>
      <c r="L1" s="692"/>
      <c r="M1" s="692"/>
    </row>
    <row r="2" spans="1:21" s="2" customFormat="1" ht="20.100000000000001" customHeight="1" x14ac:dyDescent="0.15">
      <c r="A2" s="1"/>
      <c r="B2" s="692"/>
      <c r="C2" s="692"/>
      <c r="D2" s="692"/>
      <c r="E2" s="692"/>
      <c r="F2" s="692"/>
      <c r="G2" s="692"/>
      <c r="H2" s="692"/>
      <c r="I2" s="692"/>
      <c r="J2" s="692"/>
      <c r="K2" s="692"/>
      <c r="L2" s="692"/>
      <c r="M2" s="692"/>
      <c r="P2" s="549"/>
    </row>
    <row r="3" spans="1:21" s="6" customFormat="1" ht="20.100000000000001" customHeight="1" x14ac:dyDescent="0.15">
      <c r="A3" s="550"/>
    </row>
    <row r="4" spans="1:21" s="7" customFormat="1" ht="20.100000000000001" customHeight="1" x14ac:dyDescent="0.15">
      <c r="B4" s="8" t="s">
        <v>12</v>
      </c>
      <c r="C4" s="358" t="s">
        <v>1046</v>
      </c>
      <c r="I4" s="9"/>
    </row>
    <row r="5" spans="1:21" s="7" customFormat="1" ht="20.100000000000001" customHeight="1" x14ac:dyDescent="0.15">
      <c r="B5" s="8"/>
      <c r="C5" s="358"/>
      <c r="I5" s="9"/>
    </row>
    <row r="6" spans="1:21" s="7" customFormat="1" ht="20.100000000000001" customHeight="1" x14ac:dyDescent="0.15">
      <c r="A6" s="10"/>
      <c r="B6" s="477" t="s">
        <v>13</v>
      </c>
      <c r="C6" s="476" t="s">
        <v>14</v>
      </c>
      <c r="D6" s="476"/>
      <c r="E6" s="476"/>
      <c r="F6" s="476"/>
      <c r="G6" s="476"/>
      <c r="H6" s="476"/>
      <c r="I6" s="476"/>
      <c r="U6" s="189"/>
    </row>
    <row r="7" spans="1:21" s="476" customFormat="1" ht="20.100000000000001" customHeight="1" x14ac:dyDescent="0.15">
      <c r="B7" s="6"/>
      <c r="C7" s="6"/>
      <c r="D7" s="6"/>
      <c r="E7" s="6"/>
      <c r="F7" s="6"/>
      <c r="G7" s="6"/>
      <c r="H7" s="6"/>
      <c r="I7" s="6"/>
      <c r="Q7" s="7"/>
      <c r="R7" s="690"/>
      <c r="S7" s="691"/>
      <c r="T7" s="185" t="s">
        <v>541</v>
      </c>
      <c r="U7" s="185" t="s">
        <v>542</v>
      </c>
    </row>
    <row r="8" spans="1:21" s="6" customFormat="1" ht="20.100000000000001" customHeight="1" x14ac:dyDescent="0.15">
      <c r="B8" s="12" t="s">
        <v>15</v>
      </c>
      <c r="Q8" s="7"/>
      <c r="R8" s="190" t="s">
        <v>453</v>
      </c>
      <c r="S8" s="186">
        <v>1</v>
      </c>
      <c r="T8" s="187" t="str">
        <f>IF(풍하중!$F$10&gt;=20,'KDS2022(20m 이상-Wall)'!I23,"-")</f>
        <v>-</v>
      </c>
      <c r="U8" s="187">
        <f>IF(풍하중!$F$10&lt;20,'KDS2022(20m 미만-Wall)'!H23,"-")</f>
        <v>1.52</v>
      </c>
    </row>
    <row r="9" spans="1:21" s="6" customFormat="1" ht="20.100000000000001" customHeight="1" x14ac:dyDescent="0.15">
      <c r="B9" s="8" t="s">
        <v>12</v>
      </c>
      <c r="C9" s="7" t="s">
        <v>16</v>
      </c>
      <c r="D9" s="7"/>
      <c r="E9" s="478" t="s">
        <v>17</v>
      </c>
      <c r="F9" s="693" t="s">
        <v>1007</v>
      </c>
      <c r="G9" s="693"/>
      <c r="H9" s="7"/>
      <c r="I9" s="7"/>
      <c r="R9" s="190" t="s">
        <v>454</v>
      </c>
      <c r="S9" s="186">
        <v>2</v>
      </c>
      <c r="T9" s="187" t="str">
        <f>IF(풍하중!$F$10&gt;=20,'KDS2022(20m 이상-Wall)'!J24,"-")</f>
        <v>-</v>
      </c>
      <c r="U9" s="187">
        <f>IF(풍하중!$F$10&lt;20,'KDS2022(20m 미만-Wall)'!I24,"-")</f>
        <v>-1.1619999999999999</v>
      </c>
    </row>
    <row r="10" spans="1:21" s="7" customFormat="1" ht="20.100000000000001" customHeight="1" x14ac:dyDescent="0.15">
      <c r="B10" s="8" t="s">
        <v>12</v>
      </c>
      <c r="C10" s="7" t="s">
        <v>413</v>
      </c>
      <c r="E10" s="478" t="s">
        <v>17</v>
      </c>
      <c r="F10" s="555">
        <v>19</v>
      </c>
      <c r="G10" s="551" t="s">
        <v>18</v>
      </c>
      <c r="N10" s="6"/>
      <c r="O10" s="6"/>
      <c r="P10" s="6"/>
      <c r="Q10" s="6"/>
      <c r="R10" s="190" t="s">
        <v>455</v>
      </c>
      <c r="S10" s="186">
        <v>3</v>
      </c>
      <c r="T10" s="187" t="str">
        <f>IF(풍하중!$F$10&gt;=20,'KDS2022(20m 이상-Wall)'!J26,"-")</f>
        <v>-</v>
      </c>
      <c r="U10" s="187">
        <f>IF(풍하중!$F$10&lt;20,'KDS2022(20m 미만-Wall)'!I26,"-")</f>
        <v>-1.39</v>
      </c>
    </row>
    <row r="11" spans="1:21" s="7" customFormat="1" ht="20.100000000000001" customHeight="1" x14ac:dyDescent="0.15">
      <c r="B11" s="8" t="s">
        <v>12</v>
      </c>
      <c r="C11" s="7" t="s">
        <v>414</v>
      </c>
      <c r="E11" s="478" t="s">
        <v>17</v>
      </c>
      <c r="F11" s="555">
        <f>F10</f>
        <v>19</v>
      </c>
      <c r="G11" s="551" t="s">
        <v>18</v>
      </c>
      <c r="N11" s="6"/>
      <c r="O11" s="6"/>
      <c r="P11" s="6"/>
      <c r="Q11" s="6"/>
    </row>
    <row r="12" spans="1:21" s="7" customFormat="1" ht="20.100000000000001" customHeight="1" x14ac:dyDescent="0.15">
      <c r="B12" s="8" t="s">
        <v>12</v>
      </c>
      <c r="C12" s="7" t="s">
        <v>19</v>
      </c>
      <c r="E12" s="478" t="s">
        <v>17</v>
      </c>
      <c r="F12" s="587">
        <v>28</v>
      </c>
      <c r="G12" s="7" t="s">
        <v>20</v>
      </c>
      <c r="N12" s="6"/>
      <c r="O12" s="6"/>
      <c r="P12" s="6"/>
      <c r="Q12" s="6"/>
    </row>
    <row r="13" spans="1:21" s="7" customFormat="1" ht="20.100000000000001" customHeight="1" x14ac:dyDescent="0.15">
      <c r="B13" s="8" t="s">
        <v>12</v>
      </c>
      <c r="C13" s="7" t="s">
        <v>21</v>
      </c>
      <c r="E13" s="478" t="s">
        <v>17</v>
      </c>
      <c r="F13" s="555" t="s">
        <v>520</v>
      </c>
      <c r="N13" s="588" t="s">
        <v>1042</v>
      </c>
      <c r="O13" s="6"/>
      <c r="P13" s="6"/>
      <c r="Q13" s="6"/>
    </row>
    <row r="14" spans="1:21" s="7" customFormat="1" ht="20.100000000000001" customHeight="1" x14ac:dyDescent="0.15">
      <c r="A14" s="358"/>
      <c r="B14" s="8" t="s">
        <v>12</v>
      </c>
      <c r="C14" s="7" t="s">
        <v>1008</v>
      </c>
      <c r="E14" s="478" t="s">
        <v>17</v>
      </c>
      <c r="F14" s="556">
        <v>1</v>
      </c>
    </row>
    <row r="15" spans="1:21" s="7" customFormat="1" ht="20.100000000000001" customHeight="1" x14ac:dyDescent="0.15">
      <c r="B15" s="8" t="s">
        <v>12</v>
      </c>
      <c r="C15" s="7" t="s">
        <v>22</v>
      </c>
      <c r="E15" s="478" t="s">
        <v>17</v>
      </c>
      <c r="F15" s="556">
        <v>1</v>
      </c>
      <c r="N15" s="6"/>
      <c r="O15" s="6"/>
      <c r="P15" s="6"/>
      <c r="Q15" s="6"/>
    </row>
    <row r="16" spans="1:21" s="7" customFormat="1" ht="20.100000000000001" customHeight="1" x14ac:dyDescent="0.15">
      <c r="B16" s="8" t="s">
        <v>12</v>
      </c>
      <c r="C16" s="7" t="s">
        <v>23</v>
      </c>
      <c r="E16" s="478" t="s">
        <v>17</v>
      </c>
      <c r="F16" s="557">
        <v>1</v>
      </c>
      <c r="N16" s="6"/>
      <c r="O16" s="6"/>
      <c r="P16" s="6"/>
      <c r="Q16" s="6"/>
    </row>
    <row r="17" spans="2:21" s="7" customFormat="1" ht="20.100000000000001" customHeight="1" x14ac:dyDescent="0.15">
      <c r="B17" s="8" t="s">
        <v>12</v>
      </c>
      <c r="C17" s="7" t="s">
        <v>24</v>
      </c>
      <c r="E17" s="478" t="s">
        <v>17</v>
      </c>
      <c r="F17" s="558">
        <v>1000</v>
      </c>
      <c r="G17" s="9" t="s">
        <v>25</v>
      </c>
      <c r="H17" s="558">
        <v>3900</v>
      </c>
      <c r="I17" s="9" t="s">
        <v>26</v>
      </c>
      <c r="N17" s="6"/>
      <c r="O17" s="6"/>
      <c r="P17" s="6"/>
      <c r="Q17" s="6"/>
    </row>
    <row r="18" spans="2:21" s="7" customFormat="1" ht="20.100000000000001" customHeight="1" x14ac:dyDescent="0.15">
      <c r="B18" s="8"/>
      <c r="E18" s="478"/>
      <c r="F18" s="483"/>
      <c r="G18" s="483"/>
      <c r="H18" s="483"/>
      <c r="I18" s="483"/>
      <c r="N18" s="7" t="s">
        <v>52</v>
      </c>
      <c r="O18" s="552">
        <f>F17*H17/10^6</f>
        <v>3.9</v>
      </c>
      <c r="P18" s="5" t="s">
        <v>508</v>
      </c>
    </row>
    <row r="19" spans="2:21" s="7" customFormat="1" ht="20.100000000000001" customHeight="1" x14ac:dyDescent="0.15">
      <c r="B19" s="8" t="s">
        <v>12</v>
      </c>
      <c r="C19" s="7" t="s">
        <v>27</v>
      </c>
      <c r="E19" s="478" t="s">
        <v>17</v>
      </c>
      <c r="F19" s="553">
        <f>IF(풍하중!$F$10&gt;=20,T8,U8)</f>
        <v>1.52</v>
      </c>
      <c r="G19" s="373" t="s">
        <v>521</v>
      </c>
      <c r="H19" s="482">
        <f>ROUNDUP(F19/9.80665*1000,)</f>
        <v>155</v>
      </c>
      <c r="I19" s="6" t="s">
        <v>28</v>
      </c>
      <c r="J19" s="483"/>
    </row>
    <row r="20" spans="2:21" s="7" customFormat="1" ht="20.100000000000001" customHeight="1" x14ac:dyDescent="0.15">
      <c r="B20" s="8" t="s">
        <v>12</v>
      </c>
      <c r="C20" s="7" t="s">
        <v>29</v>
      </c>
      <c r="E20" s="478" t="s">
        <v>17</v>
      </c>
      <c r="F20" s="553">
        <f>IF(풍하중!$F$10&gt;=20,T9,U9)</f>
        <v>-1.1619999999999999</v>
      </c>
      <c r="G20" s="373" t="s">
        <v>521</v>
      </c>
      <c r="H20" s="482">
        <f t="shared" ref="H20:H21" si="0">ROUNDUP(F20/9.80665*1000,)</f>
        <v>-119</v>
      </c>
      <c r="I20" s="6" t="s">
        <v>28</v>
      </c>
    </row>
    <row r="21" spans="2:21" s="7" customFormat="1" ht="20.100000000000001" customHeight="1" x14ac:dyDescent="0.15">
      <c r="B21" s="8" t="s">
        <v>12</v>
      </c>
      <c r="C21" s="7" t="s">
        <v>30</v>
      </c>
      <c r="E21" s="478" t="s">
        <v>17</v>
      </c>
      <c r="F21" s="553">
        <f>IF(풍하중!$F$10&gt;=20,T10,U10)</f>
        <v>-1.39</v>
      </c>
      <c r="G21" s="373" t="s">
        <v>521</v>
      </c>
      <c r="H21" s="482">
        <f t="shared" si="0"/>
        <v>-142</v>
      </c>
      <c r="I21" s="6" t="s">
        <v>28</v>
      </c>
    </row>
    <row r="22" spans="2:21" s="7" customFormat="1" ht="20.100000000000001" customHeight="1" x14ac:dyDescent="0.15"/>
    <row r="23" spans="2:21" s="7" customFormat="1" ht="20.100000000000001" customHeight="1" x14ac:dyDescent="0.15">
      <c r="B23" s="8"/>
      <c r="E23" s="478"/>
      <c r="F23" s="483"/>
      <c r="G23" s="6"/>
      <c r="H23" s="483"/>
      <c r="I23" s="483"/>
      <c r="J23" s="483"/>
    </row>
    <row r="24" spans="2:21" s="7" customFormat="1" ht="20.100000000000001" customHeight="1" x14ac:dyDescent="0.15"/>
    <row r="25" spans="2:21" s="7" customFormat="1" ht="20.100000000000001" customHeight="1" x14ac:dyDescent="0.15">
      <c r="G25" s="496"/>
    </row>
    <row r="26" spans="2:21" s="7" customFormat="1" ht="20.100000000000001" customHeight="1" x14ac:dyDescent="0.15">
      <c r="G26" s="497"/>
    </row>
    <row r="27" spans="2:21" s="7" customFormat="1" ht="20.100000000000001" customHeight="1" x14ac:dyDescent="0.15"/>
    <row r="28" spans="2:21" s="7" customFormat="1" ht="20.100000000000001" customHeight="1" x14ac:dyDescent="0.15">
      <c r="J28" s="547"/>
      <c r="K28" s="438"/>
    </row>
    <row r="29" spans="2:21" s="7" customFormat="1" ht="20.100000000000001" customHeight="1" x14ac:dyDescent="0.15">
      <c r="J29" s="548"/>
      <c r="K29" s="438"/>
      <c r="O29" s="554"/>
    </row>
    <row r="30" spans="2:21" s="7" customFormat="1" ht="20.100000000000001" customHeight="1" x14ac:dyDescent="0.15">
      <c r="O30" s="554"/>
    </row>
    <row r="31" spans="2:21" s="7" customFormat="1" ht="20.100000000000001" customHeight="1" x14ac:dyDescent="0.15">
      <c r="G31" s="498"/>
      <c r="O31" s="554"/>
      <c r="U31" s="6"/>
    </row>
    <row r="32" spans="2:21" s="7" customFormat="1" ht="20.100000000000001" customHeight="1" x14ac:dyDescent="0.15">
      <c r="O32" s="554"/>
    </row>
    <row r="33" spans="1:24" s="7" customFormat="1" ht="20.100000000000001" customHeight="1" x14ac:dyDescent="0.15">
      <c r="O33" s="554"/>
    </row>
    <row r="34" spans="1:24" s="7" customFormat="1" ht="20.100000000000001" customHeight="1" x14ac:dyDescent="0.15">
      <c r="O34" s="554"/>
    </row>
    <row r="35" spans="1:24" s="7" customFormat="1" ht="20.100000000000001" customHeight="1" x14ac:dyDescent="0.15">
      <c r="O35" s="554"/>
    </row>
    <row r="36" spans="1:24" s="6" customFormat="1" ht="20.100000000000001" customHeight="1" x14ac:dyDescent="0.15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</row>
    <row r="37" spans="1:24" s="6" customFormat="1" ht="20.100000000000001" customHeight="1" x14ac:dyDescent="0.15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</row>
    <row r="38" spans="1:24" s="6" customFormat="1" ht="20.100000000000001" customHeight="1" x14ac:dyDescent="0.15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</row>
    <row r="39" spans="1:24" s="6" customFormat="1" ht="20.100000000000001" customHeight="1" x14ac:dyDescent="0.15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</row>
    <row r="40" spans="1:24" s="6" customFormat="1" ht="20.100000000000001" customHeight="1" x14ac:dyDescent="0.15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</row>
    <row r="41" spans="1:24" s="6" customFormat="1" ht="20.100000000000001" customHeight="1" x14ac:dyDescent="0.15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</row>
    <row r="42" spans="1:24" s="6" customFormat="1" ht="20.100000000000001" customHeight="1" x14ac:dyDescent="0.15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</row>
    <row r="43" spans="1:24" s="6" customFormat="1" ht="20.100000000000001" customHeight="1" x14ac:dyDescent="0.15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</row>
    <row r="44" spans="1:24" s="6" customFormat="1" ht="20.100000000000001" customHeight="1" x14ac:dyDescent="0.15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</row>
    <row r="45" spans="1:24" s="6" customFormat="1" ht="20.100000000000001" customHeight="1" x14ac:dyDescent="0.15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</row>
    <row r="46" spans="1:24" s="6" customFormat="1" ht="20.100000000000001" customHeight="1" x14ac:dyDescent="0.15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</row>
    <row r="47" spans="1:24" s="476" customFormat="1" ht="20.100000000000001" customHeight="1" x14ac:dyDescent="0.15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</row>
    <row r="48" spans="1:24" s="6" customFormat="1" ht="20.100000000000001" customHeight="1" x14ac:dyDescent="0.15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</row>
    <row r="49" spans="1:24" s="6" customFormat="1" ht="20.100000000000001" customHeight="1" x14ac:dyDescent="0.15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</row>
    <row r="50" spans="1:24" s="6" customFormat="1" ht="20.100000000000001" customHeight="1" x14ac:dyDescent="0.15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</row>
    <row r="51" spans="1:24" s="6" customFormat="1" ht="20.100000000000001" customHeight="1" x14ac:dyDescent="0.15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</row>
    <row r="52" spans="1:24" s="6" customFormat="1" ht="20.100000000000001" customHeight="1" x14ac:dyDescent="0.15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</row>
    <row r="53" spans="1:24" s="6" customFormat="1" ht="20.100000000000001" customHeight="1" x14ac:dyDescent="0.15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</row>
    <row r="54" spans="1:24" s="6" customFormat="1" ht="20.100000000000001" customHeight="1" x14ac:dyDescent="0.15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</row>
    <row r="55" spans="1:24" s="6" customFormat="1" ht="20.100000000000001" customHeight="1" x14ac:dyDescent="0.15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</row>
    <row r="56" spans="1:24" s="6" customFormat="1" ht="20.100000000000001" customHeight="1" x14ac:dyDescent="0.15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</row>
    <row r="57" spans="1:24" s="6" customFormat="1" ht="20.100000000000001" customHeight="1" x14ac:dyDescent="0.15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</row>
    <row r="58" spans="1:24" s="6" customFormat="1" ht="20.100000000000001" customHeight="1" x14ac:dyDescent="0.15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</row>
    <row r="59" spans="1:24" s="6" customFormat="1" ht="20.100000000000001" customHeight="1" x14ac:dyDescent="0.15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</row>
    <row r="60" spans="1:24" s="6" customFormat="1" ht="20.100000000000001" customHeight="1" x14ac:dyDescent="0.15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</row>
    <row r="61" spans="1:24" s="6" customFormat="1" ht="20.100000000000001" customHeight="1" x14ac:dyDescent="0.15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</row>
    <row r="62" spans="1:24" s="526" customFormat="1" ht="20.100000000000001" customHeight="1" x14ac:dyDescent="0.15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</row>
    <row r="63" spans="1:24" s="6" customFormat="1" ht="20.100000000000001" customHeight="1" x14ac:dyDescent="0.15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</row>
    <row r="64" spans="1:24" s="6" customFormat="1" ht="20.100000000000001" customHeight="1" x14ac:dyDescent="0.15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</row>
    <row r="65" spans="1:24" s="6" customFormat="1" ht="20.100000000000001" customHeight="1" x14ac:dyDescent="0.15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</row>
    <row r="66" spans="1:24" s="6" customFormat="1" ht="20.100000000000001" customHeight="1" x14ac:dyDescent="0.15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</row>
    <row r="67" spans="1:24" s="6" customFormat="1" ht="20.100000000000001" customHeight="1" x14ac:dyDescent="0.15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</row>
    <row r="68" spans="1:24" s="6" customFormat="1" ht="20.100000000000001" customHeight="1" x14ac:dyDescent="0.15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</row>
    <row r="69" spans="1:24" s="6" customFormat="1" ht="20.100000000000001" customHeight="1" x14ac:dyDescent="0.15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</row>
    <row r="70" spans="1:24" s="6" customFormat="1" ht="20.100000000000001" customHeight="1" x14ac:dyDescent="0.15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</row>
    <row r="71" spans="1:24" s="6" customFormat="1" ht="20.100000000000001" customHeight="1" x14ac:dyDescent="0.15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</row>
    <row r="72" spans="1:24" s="6" customFormat="1" ht="20.100000000000001" customHeight="1" x14ac:dyDescent="0.15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</row>
    <row r="73" spans="1:24" s="6" customFormat="1" ht="20.100000000000001" customHeight="1" x14ac:dyDescent="0.15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</row>
    <row r="74" spans="1:24" s="6" customFormat="1" ht="20.100000000000001" customHeight="1" x14ac:dyDescent="0.15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</row>
    <row r="75" spans="1:24" s="6" customFormat="1" ht="20.100000000000001" customHeight="1" x14ac:dyDescent="0.15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</row>
    <row r="76" spans="1:24" s="6" customFormat="1" ht="20.100000000000001" customHeight="1" x14ac:dyDescent="0.15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</row>
    <row r="77" spans="1:24" s="6" customFormat="1" ht="20.100000000000001" customHeight="1" x14ac:dyDescent="0.15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</row>
    <row r="78" spans="1:24" s="6" customFormat="1" ht="20.100000000000001" customHeight="1" x14ac:dyDescent="0.15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</row>
    <row r="79" spans="1:24" s="6" customFormat="1" ht="20.100000000000001" customHeight="1" x14ac:dyDescent="0.15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</row>
    <row r="80" spans="1:24" s="6" customFormat="1" ht="20.100000000000001" customHeight="1" x14ac:dyDescent="0.15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</row>
    <row r="81" spans="1:24" s="6" customFormat="1" ht="20.100000000000001" customHeight="1" x14ac:dyDescent="0.15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</row>
    <row r="82" spans="1:24" s="6" customFormat="1" ht="20.100000000000001" customHeight="1" x14ac:dyDescent="0.15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</row>
    <row r="83" spans="1:24" s="6" customFormat="1" ht="20.100000000000001" customHeight="1" x14ac:dyDescent="0.15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</row>
    <row r="84" spans="1:24" s="6" customFormat="1" ht="20.100000000000001" customHeight="1" x14ac:dyDescent="0.15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</row>
    <row r="85" spans="1:24" s="6" customFormat="1" ht="20.100000000000001" customHeight="1" x14ac:dyDescent="0.15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</row>
    <row r="86" spans="1:24" s="6" customFormat="1" ht="20.100000000000001" customHeight="1" x14ac:dyDescent="0.15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</row>
    <row r="87" spans="1:24" s="6" customFormat="1" ht="20.100000000000001" customHeight="1" x14ac:dyDescent="0.15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</row>
    <row r="88" spans="1:24" s="6" customFormat="1" ht="20.100000000000001" customHeight="1" x14ac:dyDescent="0.15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</row>
    <row r="89" spans="1:24" s="6" customFormat="1" ht="20.100000000000001" customHeight="1" x14ac:dyDescent="0.15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</row>
    <row r="90" spans="1:24" s="6" customFormat="1" ht="20.100000000000001" customHeight="1" x14ac:dyDescent="0.15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</row>
    <row r="91" spans="1:24" s="6" customFormat="1" ht="20.100000000000001" customHeight="1" x14ac:dyDescent="0.15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</row>
    <row r="92" spans="1:24" s="6" customFormat="1" ht="20.100000000000001" customHeight="1" x14ac:dyDescent="0.15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</row>
    <row r="93" spans="1:24" s="6" customFormat="1" ht="20.100000000000001" customHeight="1" x14ac:dyDescent="0.15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</row>
    <row r="94" spans="1:24" s="6" customFormat="1" ht="20.100000000000001" customHeight="1" x14ac:dyDescent="0.15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</row>
    <row r="95" spans="1:24" s="6" customFormat="1" ht="20.100000000000001" customHeight="1" x14ac:dyDescent="0.15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</row>
    <row r="96" spans="1:24" s="6" customFormat="1" ht="20.100000000000001" customHeight="1" x14ac:dyDescent="0.15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</row>
    <row r="97" spans="1:24" s="6" customFormat="1" ht="20.100000000000001" customHeight="1" x14ac:dyDescent="0.15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</row>
    <row r="98" spans="1:24" s="6" customFormat="1" ht="20.100000000000001" customHeight="1" x14ac:dyDescent="0.15">
      <c r="A98" s="7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</row>
    <row r="99" spans="1:24" s="6" customFormat="1" ht="20.100000000000001" customHeight="1" x14ac:dyDescent="0.15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</row>
    <row r="100" spans="1:24" s="6" customFormat="1" ht="20.100000000000001" customHeight="1" x14ac:dyDescent="0.15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</row>
    <row r="101" spans="1:24" s="6" customFormat="1" ht="20.100000000000001" customHeight="1" x14ac:dyDescent="0.15">
      <c r="A101" s="7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</row>
    <row r="102" spans="1:24" s="6" customFormat="1" ht="20.100000000000001" customHeight="1" x14ac:dyDescent="0.15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</row>
    <row r="103" spans="1:24" s="6" customFormat="1" ht="20.100000000000001" customHeight="1" x14ac:dyDescent="0.15">
      <c r="A103" s="7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</row>
    <row r="104" spans="1:24" s="6" customFormat="1" ht="20.100000000000001" customHeight="1" x14ac:dyDescent="0.15">
      <c r="A104" s="7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</row>
    <row r="105" spans="1:24" s="6" customFormat="1" ht="20.100000000000001" customHeight="1" x14ac:dyDescent="0.15">
      <c r="A105" s="7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</row>
    <row r="106" spans="1:24" s="6" customFormat="1" ht="20.100000000000001" customHeight="1" x14ac:dyDescent="0.15">
      <c r="A106" s="7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</row>
    <row r="107" spans="1:24" s="6" customFormat="1" ht="20.100000000000001" customHeight="1" x14ac:dyDescent="0.15">
      <c r="A107" s="7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</row>
    <row r="108" spans="1:24" s="6" customFormat="1" ht="20.100000000000001" customHeight="1" x14ac:dyDescent="0.15">
      <c r="A108" s="7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</row>
    <row r="109" spans="1:24" s="6" customFormat="1" ht="20.100000000000001" customHeight="1" x14ac:dyDescent="0.15">
      <c r="A109" s="7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</row>
    <row r="110" spans="1:24" s="6" customFormat="1" ht="20.100000000000001" customHeight="1" x14ac:dyDescent="0.15">
      <c r="A110" s="7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</row>
    <row r="111" spans="1:24" s="6" customFormat="1" ht="20.100000000000001" customHeight="1" x14ac:dyDescent="0.15">
      <c r="A111" s="7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</row>
    <row r="112" spans="1:24" s="6" customFormat="1" ht="20.100000000000001" customHeight="1" x14ac:dyDescent="0.15">
      <c r="A112" s="7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</row>
    <row r="113" spans="1:24" s="6" customFormat="1" ht="20.100000000000001" customHeight="1" x14ac:dyDescent="0.15">
      <c r="A113" s="7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</row>
    <row r="114" spans="1:24" s="6" customFormat="1" ht="20.100000000000001" customHeight="1" x14ac:dyDescent="0.15"/>
    <row r="115" spans="1:24" s="6" customFormat="1" ht="20.100000000000001" customHeight="1" x14ac:dyDescent="0.15"/>
    <row r="116" spans="1:24" s="6" customFormat="1" ht="20.100000000000001" customHeight="1" x14ac:dyDescent="0.15"/>
    <row r="117" spans="1:24" s="6" customFormat="1" ht="20.100000000000001" customHeight="1" x14ac:dyDescent="0.15"/>
    <row r="118" spans="1:24" s="6" customFormat="1" ht="20.100000000000001" customHeight="1" x14ac:dyDescent="0.15"/>
    <row r="119" spans="1:24" s="6" customFormat="1" ht="20.100000000000001" customHeight="1" x14ac:dyDescent="0.15">
      <c r="B119" s="535"/>
    </row>
    <row r="120" spans="1:24" s="6" customFormat="1" ht="20.100000000000001" customHeight="1" x14ac:dyDescent="0.15"/>
    <row r="121" spans="1:24" s="6" customFormat="1" ht="20.100000000000001" customHeight="1" x14ac:dyDescent="0.15"/>
    <row r="122" spans="1:24" s="6" customFormat="1" ht="20.100000000000001" customHeight="1" x14ac:dyDescent="0.15"/>
    <row r="123" spans="1:24" s="6" customFormat="1" ht="20.100000000000001" customHeight="1" x14ac:dyDescent="0.15"/>
    <row r="124" spans="1:24" s="6" customFormat="1" ht="20.100000000000001" customHeight="1" x14ac:dyDescent="0.15"/>
    <row r="125" spans="1:24" s="6" customFormat="1" ht="20.100000000000001" customHeight="1" x14ac:dyDescent="0.15"/>
    <row r="126" spans="1:24" s="6" customFormat="1" ht="20.100000000000001" customHeight="1" x14ac:dyDescent="0.15"/>
    <row r="127" spans="1:24" s="6" customFormat="1" ht="20.100000000000001" customHeight="1" x14ac:dyDescent="0.15">
      <c r="E127" s="515"/>
    </row>
    <row r="128" spans="1:24" s="6" customFormat="1" ht="20.100000000000001" customHeight="1" x14ac:dyDescent="0.15">
      <c r="E128" s="515"/>
    </row>
    <row r="129" spans="5:13" s="6" customFormat="1" ht="20.100000000000001" customHeight="1" x14ac:dyDescent="0.15"/>
    <row r="130" spans="5:13" s="6" customFormat="1" ht="20.100000000000001" customHeight="1" x14ac:dyDescent="0.15"/>
    <row r="131" spans="5:13" s="6" customFormat="1" ht="20.100000000000001" customHeight="1" x14ac:dyDescent="0.15"/>
    <row r="132" spans="5:13" s="6" customFormat="1" ht="20.100000000000001" customHeight="1" x14ac:dyDescent="0.15"/>
    <row r="133" spans="5:13" s="6" customFormat="1" ht="20.100000000000001" customHeight="1" x14ac:dyDescent="0.15"/>
    <row r="134" spans="5:13" s="6" customFormat="1" ht="20.100000000000001" customHeight="1" x14ac:dyDescent="0.15"/>
    <row r="135" spans="5:13" s="6" customFormat="1" ht="20.100000000000001" customHeight="1" x14ac:dyDescent="0.15">
      <c r="E135" s="536"/>
    </row>
    <row r="136" spans="5:13" s="6" customFormat="1" ht="20.100000000000001" customHeight="1" x14ac:dyDescent="0.15"/>
    <row r="137" spans="5:13" s="6" customFormat="1" ht="20.100000000000001" customHeight="1" x14ac:dyDescent="0.15"/>
    <row r="138" spans="5:13" s="6" customFormat="1" ht="20.100000000000001" customHeight="1" x14ac:dyDescent="0.15"/>
    <row r="139" spans="5:13" s="6" customFormat="1" ht="20.100000000000001" customHeight="1" x14ac:dyDescent="0.15"/>
    <row r="140" spans="5:13" s="6" customFormat="1" ht="20.100000000000001" customHeight="1" x14ac:dyDescent="0.15"/>
    <row r="141" spans="5:13" s="6" customFormat="1" ht="20.100000000000001" customHeight="1" x14ac:dyDescent="0.15"/>
    <row r="142" spans="5:13" ht="20.100000000000001" customHeight="1" x14ac:dyDescent="0.15">
      <c r="J142" s="17"/>
      <c r="K142" s="17"/>
      <c r="L142" s="17"/>
      <c r="M142" s="17"/>
    </row>
    <row r="143" spans="5:13" ht="20.100000000000001" customHeight="1" x14ac:dyDescent="0.15">
      <c r="J143" s="17"/>
      <c r="K143" s="17"/>
      <c r="L143" s="17"/>
      <c r="M143" s="17"/>
    </row>
    <row r="144" spans="5:13" ht="20.100000000000001" customHeight="1" x14ac:dyDescent="0.15">
      <c r="J144" s="17"/>
      <c r="K144" s="17"/>
      <c r="L144" s="17"/>
      <c r="M144" s="17"/>
    </row>
    <row r="145" s="17" customFormat="1" ht="20.100000000000001" customHeight="1" x14ac:dyDescent="0.15"/>
  </sheetData>
  <sheetProtection algorithmName="SHA-512" hashValue="xiwPFvB97k0vB8oX2stDt6pxXM3/hyhhsYfcRZVJC6IkmoTzvqfeooe0el3MyQ9/IZ5K47R4IMODqbTyfrVWeA==" saltValue="I7Akwj2vCIXNNZ3lE6HYmw==" spinCount="100000" sheet="1" objects="1" scenarios="1" selectLockedCells="1"/>
  <mergeCells count="3">
    <mergeCell ref="R7:S7"/>
    <mergeCell ref="B1:M2"/>
    <mergeCell ref="F9:G9"/>
  </mergeCells>
  <phoneticPr fontId="2" type="noConversion"/>
  <printOptions horizontalCentered="1"/>
  <pageMargins left="0.51181102362204722" right="0.51181102362204722" top="0.78740157480314965" bottom="0.59055118110236227" header="0.39370078740157483" footer="0.39370078740157483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>
    <tabColor rgb="FF00B0F0"/>
  </sheetPr>
  <dimension ref="A1:AA157"/>
  <sheetViews>
    <sheetView view="pageBreakPreview" zoomScale="75" zoomScaleNormal="100" zoomScaleSheetLayoutView="75" workbookViewId="0">
      <selection activeCell="H21" sqref="H21:J22"/>
    </sheetView>
  </sheetViews>
  <sheetFormatPr defaultRowHeight="15.95" customHeight="1" x14ac:dyDescent="0.15"/>
  <cols>
    <col min="1" max="1" width="2.77734375" style="24" customWidth="1"/>
    <col min="2" max="2" width="7.33203125" style="24" customWidth="1"/>
    <col min="3" max="3" width="5.33203125" style="24" customWidth="1"/>
    <col min="4" max="4" width="9.33203125" style="24" customWidth="1"/>
    <col min="5" max="5" width="5.33203125" style="24" customWidth="1"/>
    <col min="6" max="6" width="9.33203125" style="24" customWidth="1"/>
    <col min="7" max="8" width="7.33203125" style="24" customWidth="1"/>
    <col min="9" max="9" width="5.33203125" style="24" customWidth="1"/>
    <col min="10" max="10" width="9.33203125" style="24" customWidth="1"/>
    <col min="11" max="11" width="7.33203125" style="24" customWidth="1"/>
    <col min="12" max="12" width="2.77734375" style="24" customWidth="1"/>
    <col min="13" max="13" width="6.77734375" style="24" customWidth="1"/>
    <col min="14" max="14" width="8.88671875" style="24" customWidth="1"/>
    <col min="15" max="15" width="10.6640625" style="24" customWidth="1"/>
    <col min="16" max="16" width="9.77734375" style="24" customWidth="1"/>
    <col min="17" max="17" width="6.77734375" style="24" customWidth="1"/>
    <col min="18" max="18" width="8.77734375" style="24" customWidth="1"/>
    <col min="19" max="20" width="6.77734375" style="24" customWidth="1"/>
    <col min="21" max="21" width="9.77734375" style="24" hidden="1" customWidth="1"/>
    <col min="22" max="22" width="0" style="38" hidden="1" customWidth="1"/>
    <col min="23" max="23" width="5.77734375" style="24" hidden="1" customWidth="1"/>
    <col min="24" max="24" width="5.77734375" style="38" hidden="1" customWidth="1"/>
    <col min="25" max="25" width="5.77734375" style="24" hidden="1" customWidth="1"/>
    <col min="26" max="26" width="5.77734375" style="38" hidden="1" customWidth="1"/>
    <col min="27" max="27" width="9.6640625" style="24" hidden="1" customWidth="1"/>
    <col min="28" max="16384" width="8.88671875" style="24"/>
  </cols>
  <sheetData>
    <row r="1" spans="1:17" ht="15.95" customHeight="1" x14ac:dyDescent="0.15">
      <c r="A1" s="76" t="s">
        <v>188</v>
      </c>
    </row>
    <row r="3" spans="1:17" ht="15.95" customHeight="1" x14ac:dyDescent="0.15">
      <c r="B3" s="77" t="s">
        <v>58</v>
      </c>
    </row>
    <row r="4" spans="1:17" ht="15.95" customHeight="1" x14ac:dyDescent="0.15">
      <c r="B4" s="8"/>
      <c r="C4" s="358"/>
    </row>
    <row r="5" spans="1:17" ht="15.95" customHeight="1" x14ac:dyDescent="0.15">
      <c r="B5" s="78" t="s">
        <v>59</v>
      </c>
      <c r="C5" s="20" t="s">
        <v>4</v>
      </c>
      <c r="D5" s="42">
        <f>(SUMPRODUCT((N8:N10=N7)*(O7:P7=M7),O8:P10))</f>
        <v>0</v>
      </c>
      <c r="E5" s="43" t="s">
        <v>456</v>
      </c>
      <c r="H5" s="36" t="s">
        <v>69</v>
      </c>
      <c r="I5" s="49"/>
      <c r="M5" s="38"/>
      <c r="P5" s="12"/>
      <c r="Q5" s="12"/>
    </row>
    <row r="6" spans="1:17" ht="15.95" customHeight="1" x14ac:dyDescent="0.15">
      <c r="B6" s="78" t="s">
        <v>190</v>
      </c>
      <c r="C6" s="20" t="s">
        <v>4</v>
      </c>
      <c r="D6" s="172">
        <f>710100/100*9.80665</f>
        <v>69637.021649999995</v>
      </c>
      <c r="E6" s="43" t="s">
        <v>1003</v>
      </c>
      <c r="F6" s="80" t="s">
        <v>191</v>
      </c>
      <c r="G6" s="561">
        <v>5</v>
      </c>
      <c r="H6" s="36" t="s">
        <v>203</v>
      </c>
      <c r="I6" s="43"/>
      <c r="M6" s="694" t="s">
        <v>543</v>
      </c>
      <c r="N6" s="694"/>
      <c r="O6" s="188"/>
      <c r="P6" s="189"/>
      <c r="Q6" s="12"/>
    </row>
    <row r="7" spans="1:17" ht="15.95" customHeight="1" x14ac:dyDescent="0.15">
      <c r="B7" s="78" t="s">
        <v>60</v>
      </c>
      <c r="C7" s="20" t="s">
        <v>4</v>
      </c>
      <c r="D7" s="560">
        <v>1200</v>
      </c>
      <c r="E7" s="43" t="s">
        <v>458</v>
      </c>
      <c r="H7" s="36" t="s">
        <v>70</v>
      </c>
      <c r="M7" s="562" t="s">
        <v>541</v>
      </c>
      <c r="N7" s="563">
        <v>1</v>
      </c>
      <c r="O7" s="185" t="s">
        <v>541</v>
      </c>
      <c r="P7" s="185" t="s">
        <v>542</v>
      </c>
    </row>
    <row r="8" spans="1:17" ht="15.95" customHeight="1" x14ac:dyDescent="0.15">
      <c r="B8" s="78" t="s">
        <v>61</v>
      </c>
      <c r="C8" s="20" t="s">
        <v>4</v>
      </c>
      <c r="D8" s="560">
        <v>1200</v>
      </c>
      <c r="E8" s="43" t="s">
        <v>458</v>
      </c>
      <c r="H8" s="36" t="s">
        <v>71</v>
      </c>
      <c r="M8" s="190" t="s">
        <v>453</v>
      </c>
      <c r="N8" s="186">
        <v>1</v>
      </c>
      <c r="O8" s="187" t="str">
        <f>풍하중!T8</f>
        <v>-</v>
      </c>
      <c r="P8" s="187">
        <f>풍하중!U8</f>
        <v>1.52</v>
      </c>
    </row>
    <row r="9" spans="1:17" ht="15.95" customHeight="1" x14ac:dyDescent="0.15">
      <c r="B9" s="80" t="s">
        <v>392</v>
      </c>
      <c r="C9" s="20" t="s">
        <v>4</v>
      </c>
      <c r="D9" s="560">
        <v>5000</v>
      </c>
      <c r="E9" s="43" t="s">
        <v>458</v>
      </c>
      <c r="H9" s="36" t="s">
        <v>401</v>
      </c>
      <c r="I9" s="43"/>
      <c r="M9" s="190" t="s">
        <v>454</v>
      </c>
      <c r="N9" s="186">
        <v>2</v>
      </c>
      <c r="O9" s="187" t="str">
        <f>풍하중!T9</f>
        <v>-</v>
      </c>
      <c r="P9" s="187">
        <f>풍하중!U9</f>
        <v>-1.1619999999999999</v>
      </c>
    </row>
    <row r="10" spans="1:17" ht="15.95" customHeight="1" x14ac:dyDescent="0.15">
      <c r="B10" s="80" t="s">
        <v>393</v>
      </c>
      <c r="C10" s="20" t="s">
        <v>4</v>
      </c>
      <c r="D10" s="560">
        <v>2600</v>
      </c>
      <c r="E10" s="43" t="s">
        <v>458</v>
      </c>
      <c r="H10" s="36" t="s">
        <v>72</v>
      </c>
      <c r="M10" s="190" t="s">
        <v>455</v>
      </c>
      <c r="N10" s="186">
        <v>3</v>
      </c>
      <c r="O10" s="187" t="str">
        <f>풍하중!T10</f>
        <v>-</v>
      </c>
      <c r="P10" s="187">
        <f>풍하중!U10</f>
        <v>-1.39</v>
      </c>
    </row>
    <row r="13" spans="1:17" ht="15.95" customHeight="1" x14ac:dyDescent="0.15">
      <c r="M13" s="165"/>
      <c r="N13" s="698"/>
      <c r="O13" s="698"/>
    </row>
    <row r="14" spans="1:17" ht="15.95" customHeight="1" x14ac:dyDescent="0.15">
      <c r="B14" s="36" t="s">
        <v>65</v>
      </c>
      <c r="C14" s="20" t="s">
        <v>4</v>
      </c>
      <c r="D14" s="172">
        <f>D84</f>
        <v>0</v>
      </c>
      <c r="E14" s="43" t="s">
        <v>511</v>
      </c>
      <c r="F14" s="36"/>
      <c r="H14" s="162" t="s">
        <v>66</v>
      </c>
      <c r="I14" s="20" t="s">
        <v>4</v>
      </c>
      <c r="J14" s="108">
        <f>D130</f>
        <v>0</v>
      </c>
      <c r="K14" s="83" t="str">
        <f>IF(J14&lt;1,"O.K","N.G")</f>
        <v>O.K</v>
      </c>
      <c r="M14" s="165"/>
      <c r="N14" s="698"/>
      <c r="O14" s="698"/>
    </row>
    <row r="16" spans="1:17" ht="15.95" customHeight="1" x14ac:dyDescent="0.15">
      <c r="B16" s="36" t="s">
        <v>120</v>
      </c>
      <c r="C16" s="20" t="s">
        <v>4</v>
      </c>
      <c r="D16" s="79">
        <f>D87</f>
        <v>0</v>
      </c>
      <c r="E16" s="43" t="s">
        <v>458</v>
      </c>
      <c r="F16" s="36"/>
    </row>
    <row r="17" spans="2:26" ht="15.95" customHeight="1" x14ac:dyDescent="0.15">
      <c r="B17" s="36" t="s">
        <v>484</v>
      </c>
      <c r="C17" s="20" t="s">
        <v>4</v>
      </c>
      <c r="D17" s="79">
        <f>D150</f>
        <v>27.18333333333333</v>
      </c>
      <c r="E17" s="43" t="s">
        <v>458</v>
      </c>
      <c r="H17" s="80" t="s">
        <v>68</v>
      </c>
      <c r="I17" s="20" t="s">
        <v>4</v>
      </c>
      <c r="J17" s="108">
        <f>D155</f>
        <v>0</v>
      </c>
      <c r="K17" s="83" t="str">
        <f>IF(J17&lt;1,"O.K","N.G")</f>
        <v>O.K</v>
      </c>
    </row>
    <row r="19" spans="2:26" ht="15.95" customHeight="1" x14ac:dyDescent="0.15">
      <c r="B19" s="78"/>
      <c r="C19" s="82"/>
      <c r="D19" s="20"/>
    </row>
    <row r="20" spans="2:26" ht="15.95" customHeight="1" x14ac:dyDescent="0.15">
      <c r="B20" s="77" t="s">
        <v>78</v>
      </c>
      <c r="E20" s="49"/>
      <c r="H20" s="77" t="s">
        <v>485</v>
      </c>
      <c r="J20" s="559">
        <v>1</v>
      </c>
      <c r="N20" s="24" t="s">
        <v>474</v>
      </c>
      <c r="Q20" s="20" t="s">
        <v>51</v>
      </c>
    </row>
    <row r="21" spans="2:26" ht="15.95" customHeight="1" thickBot="1" x14ac:dyDescent="0.2">
      <c r="K21" s="81"/>
      <c r="L21" s="81"/>
      <c r="M21" s="81"/>
    </row>
    <row r="22" spans="2:26" ht="15.95" customHeight="1" thickBot="1" x14ac:dyDescent="0.2">
      <c r="B22" s="138"/>
      <c r="C22" s="139"/>
      <c r="D22" s="139"/>
      <c r="E22" s="139"/>
      <c r="F22" s="139"/>
      <c r="G22" s="696"/>
      <c r="H22" s="696"/>
      <c r="I22" s="696"/>
      <c r="J22" s="696"/>
      <c r="K22" s="697"/>
      <c r="N22" s="138" t="s">
        <v>287</v>
      </c>
      <c r="O22" s="139"/>
      <c r="P22" s="139"/>
      <c r="Q22" s="138" t="s">
        <v>288</v>
      </c>
      <c r="R22" s="139"/>
      <c r="S22" s="140"/>
      <c r="U22" s="80" t="s">
        <v>155</v>
      </c>
      <c r="V22" s="24">
        <f>V36*X36</f>
        <v>60</v>
      </c>
      <c r="W22" s="80" t="s">
        <v>156</v>
      </c>
      <c r="X22" s="24">
        <f>X36/2</f>
        <v>15</v>
      </c>
      <c r="Y22" s="80" t="s">
        <v>157</v>
      </c>
      <c r="Z22" s="24">
        <f>V35+X34/2</f>
        <v>30</v>
      </c>
    </row>
    <row r="23" spans="2:26" ht="15.95" customHeight="1" x14ac:dyDescent="0.15">
      <c r="B23" s="91"/>
      <c r="G23" s="698"/>
      <c r="H23" s="698"/>
      <c r="I23" s="698"/>
      <c r="J23" s="698"/>
      <c r="K23" s="699"/>
      <c r="N23" s="84" t="s">
        <v>46</v>
      </c>
      <c r="O23" s="564">
        <v>60</v>
      </c>
      <c r="P23" s="154" t="s">
        <v>468</v>
      </c>
      <c r="Q23" s="84" t="s">
        <v>46</v>
      </c>
      <c r="R23" s="564">
        <v>60</v>
      </c>
      <c r="S23" s="85" t="s">
        <v>468</v>
      </c>
      <c r="U23" s="80" t="s">
        <v>158</v>
      </c>
      <c r="V23" s="24">
        <f>X34*V34</f>
        <v>112</v>
      </c>
      <c r="W23" s="80" t="s">
        <v>159</v>
      </c>
      <c r="X23" s="24">
        <f>X36+V34/2</f>
        <v>31</v>
      </c>
      <c r="Y23" s="80" t="s">
        <v>160</v>
      </c>
      <c r="Z23" s="24">
        <f>V35+X34/2</f>
        <v>30</v>
      </c>
    </row>
    <row r="24" spans="2:26" ht="15.95" customHeight="1" x14ac:dyDescent="0.15">
      <c r="B24" s="91"/>
      <c r="G24" s="698"/>
      <c r="H24" s="698"/>
      <c r="I24" s="698"/>
      <c r="J24" s="698"/>
      <c r="K24" s="699"/>
      <c r="N24" s="71" t="s">
        <v>199</v>
      </c>
      <c r="O24" s="565">
        <v>120</v>
      </c>
      <c r="P24" s="43" t="s">
        <v>468</v>
      </c>
      <c r="Q24" s="71" t="s">
        <v>199</v>
      </c>
      <c r="R24" s="565">
        <v>120</v>
      </c>
      <c r="S24" s="86" t="s">
        <v>468</v>
      </c>
      <c r="U24" s="80" t="s">
        <v>161</v>
      </c>
      <c r="V24" s="24">
        <f>X34*V34</f>
        <v>112</v>
      </c>
      <c r="W24" s="80" t="s">
        <v>162</v>
      </c>
      <c r="X24" s="24">
        <f>X36+(X35-V34)+V34/2</f>
        <v>149</v>
      </c>
      <c r="Y24" s="80" t="s">
        <v>163</v>
      </c>
      <c r="Z24" s="24">
        <f>V35+X34/2</f>
        <v>30</v>
      </c>
    </row>
    <row r="25" spans="2:26" ht="15.95" customHeight="1" x14ac:dyDescent="0.15">
      <c r="B25" s="91"/>
      <c r="G25" s="698"/>
      <c r="H25" s="698"/>
      <c r="I25" s="698"/>
      <c r="J25" s="698"/>
      <c r="K25" s="699"/>
      <c r="N25" s="71" t="s">
        <v>204</v>
      </c>
      <c r="O25" s="565">
        <v>30</v>
      </c>
      <c r="P25" s="43" t="s">
        <v>468</v>
      </c>
      <c r="Q25" s="91"/>
      <c r="R25" s="566"/>
      <c r="S25" s="110"/>
      <c r="U25" s="80" t="s">
        <v>164</v>
      </c>
      <c r="V25" s="24">
        <f>X35*V35</f>
        <v>240</v>
      </c>
      <c r="W25" s="80" t="s">
        <v>165</v>
      </c>
      <c r="X25" s="24">
        <f>X36+X35/2</f>
        <v>90</v>
      </c>
      <c r="Y25" s="80" t="s">
        <v>166</v>
      </c>
      <c r="Z25" s="24">
        <f>V35/2</f>
        <v>1</v>
      </c>
    </row>
    <row r="26" spans="2:26" ht="15.95" customHeight="1" x14ac:dyDescent="0.15">
      <c r="B26" s="91"/>
      <c r="G26" s="698"/>
      <c r="H26" s="698"/>
      <c r="I26" s="698"/>
      <c r="J26" s="698"/>
      <c r="K26" s="699"/>
      <c r="N26" s="71" t="s">
        <v>74</v>
      </c>
      <c r="O26" s="565">
        <v>2</v>
      </c>
      <c r="P26" s="43" t="s">
        <v>468</v>
      </c>
      <c r="Q26" s="71" t="s">
        <v>74</v>
      </c>
      <c r="R26" s="565">
        <v>2</v>
      </c>
      <c r="S26" s="86" t="s">
        <v>468</v>
      </c>
      <c r="U26" s="80" t="s">
        <v>167</v>
      </c>
      <c r="V26" s="24">
        <f>X35*V35</f>
        <v>240</v>
      </c>
      <c r="W26" s="80" t="s">
        <v>168</v>
      </c>
      <c r="X26" s="24">
        <f>X36+X35/2</f>
        <v>90</v>
      </c>
      <c r="Y26" s="80" t="s">
        <v>169</v>
      </c>
      <c r="Z26" s="24">
        <f>V35+X34+V35/2</f>
        <v>59</v>
      </c>
    </row>
    <row r="27" spans="2:26" ht="15.95" customHeight="1" x14ac:dyDescent="0.15">
      <c r="B27" s="91"/>
      <c r="G27" s="698"/>
      <c r="H27" s="698"/>
      <c r="I27" s="698"/>
      <c r="J27" s="698"/>
      <c r="K27" s="699"/>
      <c r="N27" s="71" t="s">
        <v>466</v>
      </c>
      <c r="O27" s="565">
        <v>2</v>
      </c>
      <c r="P27" s="43" t="s">
        <v>468</v>
      </c>
      <c r="Q27" s="71" t="s">
        <v>75</v>
      </c>
      <c r="R27" s="567">
        <v>2</v>
      </c>
      <c r="S27" s="86" t="s">
        <v>468</v>
      </c>
      <c r="U27" s="80"/>
      <c r="V27" s="24"/>
      <c r="W27" s="80"/>
      <c r="X27" s="24"/>
      <c r="Y27" s="80"/>
      <c r="Z27" s="24"/>
    </row>
    <row r="28" spans="2:26" ht="15.95" customHeight="1" thickBot="1" x14ac:dyDescent="0.2">
      <c r="B28" s="91"/>
      <c r="G28" s="698"/>
      <c r="H28" s="698"/>
      <c r="I28" s="698"/>
      <c r="J28" s="698"/>
      <c r="K28" s="699"/>
      <c r="N28" s="71" t="s">
        <v>192</v>
      </c>
      <c r="O28" s="565">
        <v>2</v>
      </c>
      <c r="P28" s="43" t="s">
        <v>468</v>
      </c>
      <c r="Q28" s="91"/>
      <c r="R28" s="566"/>
      <c r="S28" s="110"/>
      <c r="U28" s="80" t="s">
        <v>170</v>
      </c>
      <c r="V28" s="24">
        <f>X22-Z30</f>
        <v>-69.109947643979055</v>
      </c>
      <c r="W28" s="80" t="s">
        <v>171</v>
      </c>
      <c r="X28" s="24">
        <f>Z22-Z31</f>
        <v>0</v>
      </c>
      <c r="Y28" s="80" t="s">
        <v>172</v>
      </c>
      <c r="Z28" s="24">
        <f>V22*X22+V23*X23+V24*X24+V25*X25+V26*X26</f>
        <v>64260</v>
      </c>
    </row>
    <row r="29" spans="2:26" ht="15.95" customHeight="1" x14ac:dyDescent="0.15">
      <c r="B29" s="91"/>
      <c r="G29" s="698"/>
      <c r="H29" s="698"/>
      <c r="I29" s="698"/>
      <c r="J29" s="698"/>
      <c r="K29" s="699"/>
      <c r="N29" s="84" t="s">
        <v>196</v>
      </c>
      <c r="O29" s="151">
        <f>O24+O25</f>
        <v>150</v>
      </c>
      <c r="P29" s="85" t="s">
        <v>458</v>
      </c>
      <c r="Q29" s="91"/>
      <c r="R29" s="566"/>
      <c r="S29" s="110"/>
      <c r="U29" s="80" t="s">
        <v>174</v>
      </c>
      <c r="V29" s="24">
        <f>X23-Z30</f>
        <v>-53.109947643979055</v>
      </c>
      <c r="W29" s="80" t="s">
        <v>175</v>
      </c>
      <c r="X29" s="24">
        <f>Z23-Z31</f>
        <v>0</v>
      </c>
      <c r="Y29" s="80" t="s">
        <v>176</v>
      </c>
      <c r="Z29" s="24">
        <f>V22*Z22+V23*Z23+V24*Z24+V25*Z25+V26*Z26</f>
        <v>22920</v>
      </c>
    </row>
    <row r="30" spans="2:26" ht="15.95" customHeight="1" x14ac:dyDescent="0.15">
      <c r="B30" s="91"/>
      <c r="G30" s="698"/>
      <c r="H30" s="698"/>
      <c r="I30" s="698"/>
      <c r="J30" s="698"/>
      <c r="K30" s="699"/>
      <c r="N30" s="71" t="s">
        <v>77</v>
      </c>
      <c r="O30" s="23">
        <f>O23-2*O27</f>
        <v>56</v>
      </c>
      <c r="P30" s="43" t="s">
        <v>458</v>
      </c>
      <c r="Q30" s="91"/>
      <c r="R30" s="566"/>
      <c r="S30" s="110"/>
      <c r="U30" s="80" t="s">
        <v>177</v>
      </c>
      <c r="V30" s="24">
        <f>X24-Z30</f>
        <v>64.890052356020945</v>
      </c>
      <c r="W30" s="80" t="s">
        <v>178</v>
      </c>
      <c r="X30" s="24">
        <f>Z24-Z31</f>
        <v>0</v>
      </c>
      <c r="Y30" s="80" t="s">
        <v>179</v>
      </c>
      <c r="Z30" s="24">
        <f>Z28/(V22+V23+V24+V25+V26)</f>
        <v>84.109947643979055</v>
      </c>
    </row>
    <row r="31" spans="2:26" ht="15.95" customHeight="1" x14ac:dyDescent="0.15">
      <c r="B31" s="91"/>
      <c r="G31" s="698"/>
      <c r="H31" s="698"/>
      <c r="I31" s="698"/>
      <c r="J31" s="698"/>
      <c r="K31" s="699"/>
      <c r="N31" s="71" t="s">
        <v>193</v>
      </c>
      <c r="O31" s="23">
        <f>Z32</f>
        <v>1671313.4310645724</v>
      </c>
      <c r="P31" s="43" t="s">
        <v>469</v>
      </c>
      <c r="Q31" s="71" t="s">
        <v>193</v>
      </c>
      <c r="R31" s="565">
        <v>1671313.43</v>
      </c>
      <c r="S31" s="86" t="s">
        <v>469</v>
      </c>
      <c r="U31" s="80" t="s">
        <v>180</v>
      </c>
      <c r="V31" s="24">
        <f>X25-Z30</f>
        <v>5.890052356020945</v>
      </c>
      <c r="W31" s="80" t="s">
        <v>181</v>
      </c>
      <c r="X31" s="24">
        <f>Z25-Z31</f>
        <v>-29</v>
      </c>
      <c r="Y31" s="80" t="s">
        <v>182</v>
      </c>
      <c r="Z31" s="24">
        <f>Z29/(V22+V23+V24+V25+V26)</f>
        <v>30</v>
      </c>
    </row>
    <row r="32" spans="2:26" ht="15.95" customHeight="1" x14ac:dyDescent="0.15">
      <c r="B32" s="91"/>
      <c r="G32" s="698"/>
      <c r="H32" s="698"/>
      <c r="I32" s="698"/>
      <c r="J32" s="698"/>
      <c r="K32" s="699"/>
      <c r="N32" s="71" t="s">
        <v>194</v>
      </c>
      <c r="O32" s="23">
        <f>Z33</f>
        <v>462398.66666666663</v>
      </c>
      <c r="P32" s="43" t="s">
        <v>469</v>
      </c>
      <c r="Q32" s="71" t="s">
        <v>194</v>
      </c>
      <c r="R32" s="565">
        <v>462398.67</v>
      </c>
      <c r="S32" s="86" t="s">
        <v>469</v>
      </c>
      <c r="U32" s="80" t="s">
        <v>183</v>
      </c>
      <c r="V32" s="24">
        <f>X26-Z30</f>
        <v>5.890052356020945</v>
      </c>
      <c r="W32" s="80" t="s">
        <v>184</v>
      </c>
      <c r="X32" s="24">
        <f>Z26-Z31</f>
        <v>29</v>
      </c>
      <c r="Y32" s="80" t="s">
        <v>185</v>
      </c>
      <c r="Z32" s="24">
        <f>((V36*X36*X36*X36)/12+V22*V28*V28)+((X34*V34*V34*V34)/12+V23*V29*V29)+((X34*V34*V34*V34)/12+V24*V30*V30)+((V35*X35*X35*X35)/12+V25*V31*V31)+((V35*X35*X35*X35)/12+V26*V32*V32)</f>
        <v>1671313.4310645724</v>
      </c>
    </row>
    <row r="33" spans="1:26" ht="15.95" customHeight="1" x14ac:dyDescent="0.15">
      <c r="B33" s="91"/>
      <c r="G33" s="698"/>
      <c r="H33" s="698"/>
      <c r="I33" s="698"/>
      <c r="J33" s="698"/>
      <c r="K33" s="699"/>
      <c r="N33" s="71" t="s">
        <v>890</v>
      </c>
      <c r="O33" s="23">
        <f>Z31</f>
        <v>30</v>
      </c>
      <c r="P33" s="43" t="s">
        <v>458</v>
      </c>
      <c r="Q33" s="71" t="s">
        <v>890</v>
      </c>
      <c r="R33" s="565">
        <v>30</v>
      </c>
      <c r="S33" s="86" t="s">
        <v>468</v>
      </c>
      <c r="U33" s="38"/>
      <c r="V33" s="24"/>
      <c r="W33" s="38"/>
      <c r="X33" s="24"/>
      <c r="Y33" s="80" t="s">
        <v>186</v>
      </c>
      <c r="Z33" s="24">
        <f>((X36*V36*V36*V36)/12+V22*X28*X28)+((V34*X34*X34*X34)/12+V23*X29*X29)+((V34*X34*X34*X34)/12+V24*X30*X30)+((X35*V35*V35*V35)/12+V25*X31*X31)+((X35*V35*V35*V35)/12+V26*X32*X32)</f>
        <v>462398.66666666663</v>
      </c>
    </row>
    <row r="34" spans="1:26" ht="15.95" customHeight="1" x14ac:dyDescent="0.15">
      <c r="B34" s="71" t="s">
        <v>196</v>
      </c>
      <c r="C34" s="20" t="s">
        <v>4</v>
      </c>
      <c r="D34" s="171">
        <f>IF($J$20=1, O29,Q20)</f>
        <v>150</v>
      </c>
      <c r="E34" s="43" t="s">
        <v>468</v>
      </c>
      <c r="F34" s="89"/>
      <c r="G34" s="698"/>
      <c r="H34" s="698"/>
      <c r="I34" s="698"/>
      <c r="J34" s="698"/>
      <c r="K34" s="699"/>
      <c r="N34" s="71" t="s">
        <v>891</v>
      </c>
      <c r="O34" s="23">
        <f>Z30</f>
        <v>84.109947643979055</v>
      </c>
      <c r="P34" s="43" t="s">
        <v>458</v>
      </c>
      <c r="Q34" s="71" t="s">
        <v>891</v>
      </c>
      <c r="R34" s="565">
        <v>84.11</v>
      </c>
      <c r="S34" s="86" t="s">
        <v>468</v>
      </c>
      <c r="U34" s="80" t="s">
        <v>462</v>
      </c>
      <c r="V34" s="24">
        <f>O26</f>
        <v>2</v>
      </c>
      <c r="W34" s="80" t="s">
        <v>77</v>
      </c>
      <c r="X34" s="24">
        <f>O30</f>
        <v>56</v>
      </c>
      <c r="Y34" s="38"/>
      <c r="Z34" s="24"/>
    </row>
    <row r="35" spans="1:26" ht="15.95" customHeight="1" x14ac:dyDescent="0.15">
      <c r="B35" s="71" t="s">
        <v>46</v>
      </c>
      <c r="C35" s="20" t="s">
        <v>4</v>
      </c>
      <c r="D35" s="171">
        <f>IF($J$20=1, O23,Q20)</f>
        <v>60</v>
      </c>
      <c r="E35" s="43" t="s">
        <v>468</v>
      </c>
      <c r="G35" s="698"/>
      <c r="H35" s="698"/>
      <c r="I35" s="698"/>
      <c r="J35" s="698"/>
      <c r="K35" s="699"/>
      <c r="N35" s="71" t="s">
        <v>195</v>
      </c>
      <c r="O35" s="23">
        <f>O31/O34</f>
        <v>19870.579852681814</v>
      </c>
      <c r="P35" s="43" t="s">
        <v>470</v>
      </c>
      <c r="Q35" s="71" t="s">
        <v>195</v>
      </c>
      <c r="R35" s="23">
        <f>R31/R34</f>
        <v>19870.567471168706</v>
      </c>
      <c r="S35" s="86" t="s">
        <v>470</v>
      </c>
      <c r="U35" s="80" t="s">
        <v>461</v>
      </c>
      <c r="V35" s="24">
        <f>O27</f>
        <v>2</v>
      </c>
      <c r="W35" s="80" t="s">
        <v>463</v>
      </c>
      <c r="X35" s="24">
        <f>O24</f>
        <v>120</v>
      </c>
      <c r="Y35" s="38"/>
      <c r="Z35" s="24"/>
    </row>
    <row r="36" spans="1:26" ht="15.95" customHeight="1" thickBot="1" x14ac:dyDescent="0.2">
      <c r="B36" s="71" t="s">
        <v>199</v>
      </c>
      <c r="C36" s="20" t="s">
        <v>4</v>
      </c>
      <c r="D36" s="171">
        <f>IF($J$20=1, O24,Q20)</f>
        <v>120</v>
      </c>
      <c r="E36" s="43" t="s">
        <v>468</v>
      </c>
      <c r="F36" s="89"/>
      <c r="G36" s="698"/>
      <c r="H36" s="698"/>
      <c r="I36" s="698"/>
      <c r="J36" s="698"/>
      <c r="K36" s="699"/>
      <c r="N36" s="87" t="s">
        <v>349</v>
      </c>
      <c r="O36" s="152">
        <f>(2*O27*O26*(O23-O27)^2*(O24-O26)^2)/((O23*O27)+(O24*O26)-O27^2-O26^2)</f>
        <v>1064553.0909090908</v>
      </c>
      <c r="P36" s="153" t="s">
        <v>470</v>
      </c>
      <c r="Q36" s="87" t="s">
        <v>304</v>
      </c>
      <c r="R36" s="152">
        <f>(2*R27*R26*(R23-R27)^2*(R24-R26)^2)/((R23*R27)+(R24*R26)-R27^2-R26^2)</f>
        <v>1064553.0909090908</v>
      </c>
      <c r="S36" s="88" t="s">
        <v>471</v>
      </c>
      <c r="U36" s="80" t="s">
        <v>467</v>
      </c>
      <c r="V36" s="24">
        <f>O28</f>
        <v>2</v>
      </c>
      <c r="W36" s="80" t="s">
        <v>464</v>
      </c>
      <c r="X36" s="24">
        <f>O25</f>
        <v>30</v>
      </c>
      <c r="Y36" s="38"/>
      <c r="Z36" s="24"/>
    </row>
    <row r="37" spans="1:26" ht="15.95" customHeight="1" x14ac:dyDescent="0.15">
      <c r="B37" s="71" t="s">
        <v>518</v>
      </c>
      <c r="C37" s="20" t="s">
        <v>4</v>
      </c>
      <c r="D37" s="171">
        <f>IF($J$20=1, O25,Q20)</f>
        <v>30</v>
      </c>
      <c r="E37" s="43" t="s">
        <v>468</v>
      </c>
      <c r="F37" s="89"/>
      <c r="G37" s="698"/>
      <c r="H37" s="698"/>
      <c r="I37" s="698"/>
      <c r="J37" s="698"/>
      <c r="K37" s="699"/>
    </row>
    <row r="38" spans="1:26" ht="15.95" customHeight="1" x14ac:dyDescent="0.15">
      <c r="B38" s="71" t="s">
        <v>74</v>
      </c>
      <c r="C38" s="20" t="s">
        <v>4</v>
      </c>
      <c r="D38" s="171">
        <f>IF($J$20=1, O26,Q20)</f>
        <v>2</v>
      </c>
      <c r="E38" s="43" t="s">
        <v>468</v>
      </c>
      <c r="F38" s="89"/>
      <c r="G38" s="698"/>
      <c r="H38" s="698"/>
      <c r="I38" s="698"/>
      <c r="J38" s="698"/>
      <c r="K38" s="699"/>
      <c r="N38" s="24" t="s">
        <v>205</v>
      </c>
    </row>
    <row r="39" spans="1:26" ht="15.95" customHeight="1" thickBot="1" x14ac:dyDescent="0.2">
      <c r="B39" s="71" t="s">
        <v>466</v>
      </c>
      <c r="C39" s="20" t="s">
        <v>4</v>
      </c>
      <c r="D39" s="171">
        <f>IF($J$20=1, O27,Q20)</f>
        <v>2</v>
      </c>
      <c r="E39" s="43" t="s">
        <v>468</v>
      </c>
      <c r="G39" s="698"/>
      <c r="H39" s="698"/>
      <c r="I39" s="698"/>
      <c r="J39" s="698"/>
      <c r="K39" s="699"/>
      <c r="L39" s="81"/>
      <c r="M39" s="81"/>
      <c r="N39" s="24" t="s">
        <v>460</v>
      </c>
      <c r="S39" s="69"/>
      <c r="T39" s="70"/>
    </row>
    <row r="40" spans="1:26" ht="15.95" customHeight="1" x14ac:dyDescent="0.15">
      <c r="B40" s="71" t="s">
        <v>192</v>
      </c>
      <c r="C40" s="20" t="s">
        <v>4</v>
      </c>
      <c r="D40" s="171">
        <f>IF($J$20=1, O28,Q20)</f>
        <v>2</v>
      </c>
      <c r="E40" s="43" t="s">
        <v>468</v>
      </c>
      <c r="F40" s="89"/>
      <c r="G40" s="698"/>
      <c r="H40" s="698"/>
      <c r="I40" s="698"/>
      <c r="J40" s="698"/>
      <c r="K40" s="699"/>
      <c r="L40" s="81"/>
      <c r="M40" s="81"/>
      <c r="N40" s="84" t="s">
        <v>193</v>
      </c>
      <c r="O40" s="151">
        <f t="shared" ref="O40:O45" si="0">IF($J$20=1, O31,R31)</f>
        <v>1671313.4310645724</v>
      </c>
      <c r="P40" s="85" t="s">
        <v>469</v>
      </c>
      <c r="Q40" s="72" t="s">
        <v>350</v>
      </c>
      <c r="R40" s="151">
        <f>IF($J$20=1, O30,R23-R27*2)</f>
        <v>56</v>
      </c>
      <c r="S40" s="85" t="s">
        <v>468</v>
      </c>
      <c r="T40" s="44"/>
      <c r="U40" s="44"/>
    </row>
    <row r="41" spans="1:26" ht="15.95" customHeight="1" x14ac:dyDescent="0.15">
      <c r="B41" s="71" t="s">
        <v>361</v>
      </c>
      <c r="C41" s="20" t="s">
        <v>4</v>
      </c>
      <c r="D41" s="167">
        <f>O40</f>
        <v>1671313.4310645724</v>
      </c>
      <c r="E41" s="43" t="s">
        <v>469</v>
      </c>
      <c r="F41" s="89"/>
      <c r="G41" s="698"/>
      <c r="H41" s="698"/>
      <c r="I41" s="698"/>
      <c r="J41" s="698"/>
      <c r="K41" s="699"/>
      <c r="L41" s="81"/>
      <c r="M41" s="81"/>
      <c r="N41" s="71" t="s">
        <v>194</v>
      </c>
      <c r="O41" s="23">
        <f t="shared" si="0"/>
        <v>462398.66666666663</v>
      </c>
      <c r="P41" s="43" t="s">
        <v>469</v>
      </c>
      <c r="Q41" s="73" t="s">
        <v>351</v>
      </c>
      <c r="R41" s="23">
        <f>IF($J$20=1, O24-2*O26,R24-R26*2)</f>
        <v>116</v>
      </c>
      <c r="S41" s="86" t="s">
        <v>468</v>
      </c>
      <c r="U41" s="44"/>
    </row>
    <row r="42" spans="1:26" ht="15.95" customHeight="1" x14ac:dyDescent="0.15">
      <c r="B42" s="71" t="s">
        <v>362</v>
      </c>
      <c r="C42" s="20" t="s">
        <v>4</v>
      </c>
      <c r="D42" s="167">
        <f>O41</f>
        <v>462398.66666666663</v>
      </c>
      <c r="E42" s="43" t="s">
        <v>469</v>
      </c>
      <c r="F42" s="89"/>
      <c r="G42" s="698"/>
      <c r="H42" s="698"/>
      <c r="I42" s="698"/>
      <c r="J42" s="698"/>
      <c r="K42" s="699"/>
      <c r="L42" s="81"/>
      <c r="M42" s="81"/>
      <c r="N42" s="71" t="s">
        <v>890</v>
      </c>
      <c r="O42" s="23">
        <f t="shared" si="0"/>
        <v>30</v>
      </c>
      <c r="P42" s="43" t="s">
        <v>458</v>
      </c>
      <c r="Q42" s="73" t="s">
        <v>352</v>
      </c>
      <c r="R42" s="23">
        <f>IF($J$20=1, O26,R26)</f>
        <v>2</v>
      </c>
      <c r="S42" s="86" t="s">
        <v>468</v>
      </c>
      <c r="T42" s="90"/>
      <c r="U42" s="44"/>
    </row>
    <row r="43" spans="1:26" ht="15.95" customHeight="1" x14ac:dyDescent="0.15">
      <c r="B43" s="71" t="s">
        <v>890</v>
      </c>
      <c r="C43" s="20" t="s">
        <v>4</v>
      </c>
      <c r="D43" s="173">
        <f>O42</f>
        <v>30</v>
      </c>
      <c r="E43" s="43" t="s">
        <v>458</v>
      </c>
      <c r="F43" s="89"/>
      <c r="G43" s="698"/>
      <c r="H43" s="698"/>
      <c r="I43" s="698"/>
      <c r="J43" s="698"/>
      <c r="K43" s="699"/>
      <c r="L43" s="81"/>
      <c r="M43" s="81"/>
      <c r="N43" s="71" t="s">
        <v>891</v>
      </c>
      <c r="O43" s="23">
        <f t="shared" si="0"/>
        <v>84.109947643979055</v>
      </c>
      <c r="P43" s="43" t="s">
        <v>458</v>
      </c>
      <c r="Q43" s="73" t="s">
        <v>353</v>
      </c>
      <c r="R43" s="158">
        <f>IF($J$20=1, O27,R27)</f>
        <v>2</v>
      </c>
      <c r="S43" s="86" t="s">
        <v>468</v>
      </c>
      <c r="T43" s="90"/>
      <c r="U43" s="44"/>
    </row>
    <row r="44" spans="1:26" ht="15.95" customHeight="1" x14ac:dyDescent="0.15">
      <c r="B44" s="71" t="s">
        <v>360</v>
      </c>
      <c r="C44" s="20" t="s">
        <v>4</v>
      </c>
      <c r="D44" s="167">
        <f t="shared" ref="D44:D45" si="1">O44</f>
        <v>19870.579852681814</v>
      </c>
      <c r="E44" s="43" t="s">
        <v>470</v>
      </c>
      <c r="F44" s="89"/>
      <c r="G44" s="698"/>
      <c r="H44" s="698"/>
      <c r="I44" s="698"/>
      <c r="J44" s="698"/>
      <c r="K44" s="699"/>
      <c r="L44" s="81"/>
      <c r="M44" s="81"/>
      <c r="N44" s="71" t="s">
        <v>195</v>
      </c>
      <c r="O44" s="23">
        <f t="shared" si="0"/>
        <v>19870.579852681814</v>
      </c>
      <c r="P44" s="43" t="s">
        <v>470</v>
      </c>
      <c r="Q44" s="91"/>
      <c r="R44" s="81"/>
      <c r="S44" s="92"/>
      <c r="T44" s="90"/>
      <c r="U44" s="44"/>
    </row>
    <row r="45" spans="1:26" ht="15.75" customHeight="1" thickBot="1" x14ac:dyDescent="0.2">
      <c r="B45" s="87" t="s">
        <v>349</v>
      </c>
      <c r="C45" s="33" t="s">
        <v>4</v>
      </c>
      <c r="D45" s="168">
        <f t="shared" si="1"/>
        <v>1064553.0909090908</v>
      </c>
      <c r="E45" s="153" t="s">
        <v>470</v>
      </c>
      <c r="F45" s="163"/>
      <c r="G45" s="700"/>
      <c r="H45" s="700"/>
      <c r="I45" s="700"/>
      <c r="J45" s="700"/>
      <c r="K45" s="701"/>
      <c r="L45" s="81"/>
      <c r="M45" s="81"/>
      <c r="N45" s="87" t="s">
        <v>349</v>
      </c>
      <c r="O45" s="152">
        <f t="shared" si="0"/>
        <v>1064553.0909090908</v>
      </c>
      <c r="P45" s="153" t="s">
        <v>470</v>
      </c>
      <c r="Q45" s="94"/>
      <c r="R45" s="93"/>
      <c r="S45" s="95"/>
      <c r="T45" s="90"/>
      <c r="U45" s="44"/>
    </row>
    <row r="46" spans="1:26" ht="15.95" customHeight="1" x14ac:dyDescent="0.15">
      <c r="B46" s="707" t="s">
        <v>1000</v>
      </c>
      <c r="C46" s="707"/>
      <c r="D46" s="707"/>
      <c r="E46" s="707"/>
      <c r="F46" s="707"/>
      <c r="G46" s="707"/>
      <c r="H46" s="707"/>
      <c r="I46" s="707"/>
      <c r="J46" s="707"/>
      <c r="K46" s="707"/>
      <c r="L46" s="81"/>
      <c r="M46" s="81"/>
    </row>
    <row r="47" spans="1:26" s="12" customFormat="1" ht="15.95" hidden="1" customHeight="1" x14ac:dyDescent="0.15">
      <c r="A47" s="129"/>
      <c r="B47" s="129" t="s">
        <v>384</v>
      </c>
    </row>
    <row r="48" spans="1:26" s="12" customFormat="1" ht="15.95" hidden="1" customHeight="1" x14ac:dyDescent="0.15"/>
    <row r="49" spans="1:9" s="12" customFormat="1" ht="15.95" hidden="1" customHeight="1" x14ac:dyDescent="0.15">
      <c r="B49" s="130"/>
    </row>
    <row r="50" spans="1:9" s="12" customFormat="1" ht="15.95" hidden="1" customHeight="1" x14ac:dyDescent="0.15">
      <c r="A50" s="131"/>
    </row>
    <row r="51" spans="1:9" s="12" customFormat="1" ht="15.95" hidden="1" customHeight="1" x14ac:dyDescent="0.15">
      <c r="A51" s="131"/>
    </row>
    <row r="52" spans="1:9" s="12" customFormat="1" ht="15.95" hidden="1" customHeight="1" x14ac:dyDescent="0.15">
      <c r="A52" s="131"/>
    </row>
    <row r="53" spans="1:9" s="12" customFormat="1" ht="15.95" hidden="1" customHeight="1" x14ac:dyDescent="0.15">
      <c r="A53" s="131"/>
    </row>
    <row r="54" spans="1:9" s="12" customFormat="1" ht="15.95" hidden="1" customHeight="1" x14ac:dyDescent="0.15">
      <c r="A54" s="131"/>
      <c r="G54" s="36"/>
    </row>
    <row r="55" spans="1:9" s="12" customFormat="1" ht="15.95" hidden="1" customHeight="1" x14ac:dyDescent="0.15">
      <c r="A55" s="131"/>
      <c r="G55" s="98"/>
    </row>
    <row r="56" spans="1:9" s="12" customFormat="1" ht="15.95" hidden="1" customHeight="1" x14ac:dyDescent="0.15">
      <c r="A56" s="131"/>
      <c r="G56" s="36"/>
    </row>
    <row r="57" spans="1:9" s="12" customFormat="1" ht="15.95" hidden="1" customHeight="1" x14ac:dyDescent="0.15">
      <c r="A57" s="131"/>
      <c r="G57" s="36"/>
    </row>
    <row r="58" spans="1:9" s="12" customFormat="1" ht="15.95" hidden="1" customHeight="1" x14ac:dyDescent="0.15">
      <c r="A58" s="131"/>
      <c r="G58" s="36"/>
      <c r="I58" s="131"/>
    </row>
    <row r="59" spans="1:9" s="12" customFormat="1" ht="15.95" hidden="1" customHeight="1" x14ac:dyDescent="0.15">
      <c r="B59" s="24" t="s">
        <v>91</v>
      </c>
      <c r="G59" s="36"/>
    </row>
    <row r="60" spans="1:9" s="12" customFormat="1" ht="15.95" hidden="1" customHeight="1" x14ac:dyDescent="0.15">
      <c r="G60" s="78"/>
    </row>
    <row r="61" spans="1:9" s="12" customFormat="1" ht="15.95" hidden="1" customHeight="1" x14ac:dyDescent="0.15">
      <c r="B61" s="36" t="s">
        <v>85</v>
      </c>
      <c r="C61" s="20" t="s">
        <v>4</v>
      </c>
      <c r="D61" s="36" t="s">
        <v>86</v>
      </c>
      <c r="E61" s="20" t="s">
        <v>4</v>
      </c>
      <c r="F61" s="36" t="s">
        <v>388</v>
      </c>
      <c r="G61" s="20" t="s">
        <v>9</v>
      </c>
      <c r="H61" s="36" t="s">
        <v>101</v>
      </c>
      <c r="I61" s="36"/>
    </row>
    <row r="62" spans="1:9" s="12" customFormat="1" ht="15.95" hidden="1" customHeight="1" x14ac:dyDescent="0.15">
      <c r="B62" s="36" t="s">
        <v>385</v>
      </c>
      <c r="C62" s="20" t="s">
        <v>4</v>
      </c>
      <c r="D62" s="36" t="s">
        <v>389</v>
      </c>
      <c r="E62" s="20" t="s">
        <v>4</v>
      </c>
      <c r="F62" s="36" t="s">
        <v>388</v>
      </c>
      <c r="G62" s="20" t="s">
        <v>9</v>
      </c>
      <c r="H62" s="36" t="s">
        <v>386</v>
      </c>
      <c r="I62" s="36"/>
    </row>
    <row r="63" spans="1:9" s="12" customFormat="1" ht="15.95" hidden="1" customHeight="1" x14ac:dyDescent="0.15">
      <c r="B63" s="36" t="s">
        <v>65</v>
      </c>
      <c r="C63" s="20" t="s">
        <v>4</v>
      </c>
      <c r="D63" s="36" t="s">
        <v>387</v>
      </c>
      <c r="E63" s="36"/>
      <c r="G63" s="20" t="s">
        <v>9</v>
      </c>
      <c r="H63" s="36" t="s">
        <v>102</v>
      </c>
      <c r="I63" s="36"/>
    </row>
    <row r="64" spans="1:9" s="12" customFormat="1" ht="15.95" hidden="1" customHeight="1" x14ac:dyDescent="0.15">
      <c r="B64" s="78" t="s">
        <v>120</v>
      </c>
      <c r="C64" s="20" t="s">
        <v>4</v>
      </c>
      <c r="D64" s="36" t="s">
        <v>390</v>
      </c>
      <c r="E64" s="36"/>
      <c r="G64" s="20" t="s">
        <v>9</v>
      </c>
      <c r="H64" s="36" t="s">
        <v>103</v>
      </c>
      <c r="I64" s="36"/>
    </row>
    <row r="65" spans="1:13" s="12" customFormat="1" ht="15.95" hidden="1" customHeight="1" x14ac:dyDescent="0.15">
      <c r="H65" s="20"/>
      <c r="I65" s="36"/>
    </row>
    <row r="66" spans="1:13" s="12" customFormat="1" ht="15.95" hidden="1" customHeight="1" x14ac:dyDescent="0.15"/>
    <row r="67" spans="1:13" s="12" customFormat="1" ht="15.95" hidden="1" customHeight="1" x14ac:dyDescent="0.15">
      <c r="A67" s="131"/>
      <c r="B67" s="24" t="s">
        <v>92</v>
      </c>
    </row>
    <row r="68" spans="1:13" s="12" customFormat="1" ht="15.95" hidden="1" customHeight="1" x14ac:dyDescent="0.15"/>
    <row r="69" spans="1:13" s="12" customFormat="1" ht="15.95" hidden="1" customHeight="1" x14ac:dyDescent="0.15">
      <c r="B69" s="136" t="s">
        <v>2</v>
      </c>
      <c r="C69" s="27" t="s">
        <v>4</v>
      </c>
      <c r="D69" s="167">
        <f>D9</f>
        <v>5000</v>
      </c>
      <c r="E69" s="12" t="s">
        <v>499</v>
      </c>
      <c r="G69" s="20" t="s">
        <v>9</v>
      </c>
      <c r="H69" s="36" t="s">
        <v>404</v>
      </c>
      <c r="J69" s="36"/>
      <c r="K69" s="36"/>
    </row>
    <row r="70" spans="1:13" s="12" customFormat="1" ht="15.95" hidden="1" customHeight="1" x14ac:dyDescent="0.15">
      <c r="B70" s="137" t="s">
        <v>3</v>
      </c>
      <c r="C70" s="27" t="s">
        <v>4</v>
      </c>
      <c r="D70" s="167">
        <f>(D7+D8)/2</f>
        <v>1200</v>
      </c>
      <c r="E70" s="12" t="s">
        <v>499</v>
      </c>
      <c r="G70" s="20" t="s">
        <v>9</v>
      </c>
      <c r="H70" s="36" t="s">
        <v>391</v>
      </c>
      <c r="J70" s="20"/>
      <c r="K70" s="36"/>
    </row>
    <row r="71" spans="1:13" s="12" customFormat="1" ht="15.95" hidden="1" customHeight="1" x14ac:dyDescent="0.15">
      <c r="B71" s="137" t="s">
        <v>11</v>
      </c>
      <c r="C71" s="27" t="s">
        <v>4</v>
      </c>
      <c r="D71" s="24">
        <f>ABS(D5*D70/10^3)</f>
        <v>0</v>
      </c>
      <c r="E71" s="24" t="s">
        <v>477</v>
      </c>
      <c r="F71" s="130"/>
      <c r="G71" s="20" t="s">
        <v>9</v>
      </c>
      <c r="H71" s="36" t="s">
        <v>382</v>
      </c>
      <c r="J71" s="20"/>
      <c r="K71" s="36"/>
    </row>
    <row r="72" spans="1:13" s="12" customFormat="1" ht="15.95" hidden="1" customHeight="1" x14ac:dyDescent="0.15">
      <c r="B72" s="137" t="s">
        <v>5</v>
      </c>
      <c r="C72" s="27" t="s">
        <v>4</v>
      </c>
      <c r="D72" s="167">
        <f>D6</f>
        <v>69637.021649999995</v>
      </c>
      <c r="E72" s="43" t="s">
        <v>457</v>
      </c>
      <c r="G72" s="20" t="s">
        <v>9</v>
      </c>
      <c r="H72" s="36" t="s">
        <v>95</v>
      </c>
      <c r="J72" s="20"/>
      <c r="K72" s="36"/>
    </row>
    <row r="73" spans="1:13" s="12" customFormat="1" ht="15.95" hidden="1" customHeight="1" x14ac:dyDescent="0.15">
      <c r="B73" s="137" t="s">
        <v>10</v>
      </c>
      <c r="C73" s="27" t="s">
        <v>4</v>
      </c>
      <c r="D73" s="167">
        <f>D41</f>
        <v>1671313.4310645724</v>
      </c>
      <c r="E73" s="12" t="s">
        <v>494</v>
      </c>
      <c r="G73" s="20" t="s">
        <v>9</v>
      </c>
      <c r="H73" s="36" t="s">
        <v>96</v>
      </c>
      <c r="J73" s="20"/>
      <c r="K73" s="36"/>
    </row>
    <row r="74" spans="1:13" s="12" customFormat="1" ht="15.95" hidden="1" customHeight="1" x14ac:dyDescent="0.15">
      <c r="J74" s="20"/>
      <c r="K74" s="36"/>
    </row>
    <row r="75" spans="1:13" s="12" customFormat="1" ht="15.95" hidden="1" customHeight="1" x14ac:dyDescent="0.15">
      <c r="A75" s="25"/>
      <c r="B75" s="24" t="s">
        <v>104</v>
      </c>
      <c r="J75" s="20"/>
      <c r="K75" s="36"/>
    </row>
    <row r="76" spans="1:13" s="12" customFormat="1" ht="15.95" hidden="1" customHeight="1" x14ac:dyDescent="0.15">
      <c r="J76" s="20"/>
      <c r="K76" s="36"/>
      <c r="L76" s="133"/>
      <c r="M76" s="131"/>
    </row>
    <row r="77" spans="1:13" s="12" customFormat="1" ht="15.95" hidden="1" customHeight="1" x14ac:dyDescent="0.15">
      <c r="A77" s="12" t="s">
        <v>1</v>
      </c>
      <c r="B77" s="36" t="s">
        <v>85</v>
      </c>
      <c r="C77" s="27" t="s">
        <v>4</v>
      </c>
      <c r="D77" s="36" t="s">
        <v>388</v>
      </c>
      <c r="G77" s="36"/>
      <c r="K77" s="36"/>
    </row>
    <row r="78" spans="1:13" s="12" customFormat="1" ht="15.95" hidden="1" customHeight="1" x14ac:dyDescent="0.15">
      <c r="B78" s="130"/>
      <c r="C78" s="27" t="s">
        <v>4</v>
      </c>
      <c r="D78" s="172">
        <f>D71*D69/2</f>
        <v>0</v>
      </c>
      <c r="E78" s="24" t="s">
        <v>495</v>
      </c>
      <c r="G78" s="36"/>
      <c r="K78" s="36"/>
    </row>
    <row r="79" spans="1:13" s="12" customFormat="1" ht="15.95" hidden="1" customHeight="1" x14ac:dyDescent="0.15">
      <c r="B79" s="131"/>
      <c r="C79" s="134"/>
      <c r="D79" s="132"/>
      <c r="G79" s="36"/>
      <c r="K79" s="36"/>
    </row>
    <row r="80" spans="1:13" s="12" customFormat="1" ht="15.95" hidden="1" customHeight="1" x14ac:dyDescent="0.15">
      <c r="B80" s="36" t="s">
        <v>385</v>
      </c>
      <c r="C80" s="27" t="s">
        <v>4</v>
      </c>
      <c r="D80" s="36" t="s">
        <v>388</v>
      </c>
      <c r="G80" s="78"/>
      <c r="K80" s="36"/>
    </row>
    <row r="81" spans="1:26" s="12" customFormat="1" ht="15.95" hidden="1" customHeight="1" x14ac:dyDescent="0.15">
      <c r="B81" s="135"/>
      <c r="C81" s="27" t="s">
        <v>4</v>
      </c>
      <c r="D81" s="172">
        <f>D71*D69/2</f>
        <v>0</v>
      </c>
      <c r="E81" s="24" t="s">
        <v>495</v>
      </c>
      <c r="K81" s="36"/>
    </row>
    <row r="82" spans="1:26" s="12" customFormat="1" ht="15.95" hidden="1" customHeight="1" x14ac:dyDescent="0.15">
      <c r="B82" s="135"/>
      <c r="C82" s="134"/>
      <c r="D82" s="30"/>
      <c r="K82" s="36"/>
    </row>
    <row r="83" spans="1:26" s="12" customFormat="1" ht="15.95" hidden="1" customHeight="1" x14ac:dyDescent="0.15">
      <c r="B83" s="36" t="s">
        <v>65</v>
      </c>
      <c r="C83" s="27" t="s">
        <v>4</v>
      </c>
      <c r="D83" s="36" t="s">
        <v>1044</v>
      </c>
      <c r="F83" s="36"/>
      <c r="K83" s="36"/>
      <c r="O83" s="172"/>
      <c r="P83" s="43"/>
    </row>
    <row r="84" spans="1:26" s="12" customFormat="1" ht="15.95" hidden="1" customHeight="1" x14ac:dyDescent="0.15">
      <c r="C84" s="27" t="s">
        <v>4</v>
      </c>
      <c r="D84" s="172">
        <f>0.65*D71*D69^2/8</f>
        <v>0</v>
      </c>
      <c r="E84" s="43" t="s">
        <v>497</v>
      </c>
      <c r="F84" s="36"/>
      <c r="K84" s="36"/>
      <c r="O84" s="334"/>
    </row>
    <row r="85" spans="1:26" s="12" customFormat="1" ht="15.95" hidden="1" customHeight="1" x14ac:dyDescent="0.15">
      <c r="B85" s="135"/>
      <c r="C85" s="134"/>
      <c r="D85" s="30"/>
      <c r="K85" s="36"/>
    </row>
    <row r="86" spans="1:26" s="12" customFormat="1" ht="15.95" hidden="1" customHeight="1" x14ac:dyDescent="0.15">
      <c r="B86" s="78" t="s">
        <v>120</v>
      </c>
      <c r="C86" s="27" t="s">
        <v>4</v>
      </c>
      <c r="D86" s="36" t="s">
        <v>1043</v>
      </c>
      <c r="K86" s="36"/>
      <c r="O86" s="332"/>
      <c r="P86" s="43"/>
    </row>
    <row r="87" spans="1:26" s="12" customFormat="1" ht="15.95" hidden="1" customHeight="1" x14ac:dyDescent="0.15">
      <c r="B87" s="135"/>
      <c r="C87" s="27" t="s">
        <v>4</v>
      </c>
      <c r="D87" s="175">
        <f>0.65*(5*D71*D69^4)/(384*D72*D73)</f>
        <v>0</v>
      </c>
      <c r="E87" s="24" t="s">
        <v>499</v>
      </c>
      <c r="K87" s="36"/>
      <c r="O87" s="334"/>
    </row>
    <row r="88" spans="1:26" ht="15.95" hidden="1" customHeight="1" x14ac:dyDescent="0.15">
      <c r="B88" s="127"/>
      <c r="C88" s="20"/>
      <c r="D88" s="127"/>
      <c r="H88" s="43"/>
      <c r="K88" s="36"/>
      <c r="V88" s="24"/>
      <c r="X88" s="24"/>
      <c r="Z88" s="24"/>
    </row>
    <row r="89" spans="1:26" ht="15.95" hidden="1" customHeight="1" x14ac:dyDescent="0.15">
      <c r="C89" s="20"/>
      <c r="D89" s="30"/>
      <c r="E89" s="43"/>
      <c r="K89" s="36"/>
      <c r="V89" s="24"/>
      <c r="X89" s="24"/>
      <c r="Z89" s="24"/>
    </row>
    <row r="90" spans="1:26" ht="15.95" hidden="1" customHeight="1" x14ac:dyDescent="0.15">
      <c r="B90" s="128"/>
      <c r="C90" s="20"/>
      <c r="D90" s="127"/>
      <c r="H90" s="43"/>
      <c r="J90" s="43"/>
      <c r="K90" s="36"/>
      <c r="V90" s="24"/>
      <c r="X90" s="24"/>
      <c r="Z90" s="24"/>
    </row>
    <row r="91" spans="1:26" ht="15.95" hidden="1" customHeight="1" x14ac:dyDescent="0.15">
      <c r="B91" s="68"/>
      <c r="C91" s="20"/>
      <c r="D91" s="34"/>
      <c r="E91" s="43"/>
      <c r="K91" s="36"/>
      <c r="V91" s="24"/>
      <c r="X91" s="24"/>
      <c r="Z91" s="24"/>
    </row>
    <row r="92" spans="1:26" ht="15.95" hidden="1" customHeight="1" x14ac:dyDescent="0.15">
      <c r="B92" s="68"/>
      <c r="C92" s="20"/>
      <c r="K92" s="36"/>
      <c r="V92" s="24"/>
      <c r="X92" s="24"/>
      <c r="Z92" s="24"/>
    </row>
    <row r="93" spans="1:26" ht="15.95" hidden="1" customHeight="1" x14ac:dyDescent="0.15">
      <c r="A93" s="43"/>
      <c r="B93" s="77" t="s">
        <v>144</v>
      </c>
      <c r="C93" s="43"/>
      <c r="D93" s="43"/>
      <c r="E93" s="43"/>
      <c r="F93" s="43"/>
      <c r="G93" s="43"/>
      <c r="H93" s="43"/>
      <c r="I93" s="43"/>
      <c r="J93" s="43"/>
      <c r="K93" s="43"/>
      <c r="L93" s="43"/>
      <c r="N93" s="45" t="s">
        <v>355</v>
      </c>
      <c r="O93" s="361">
        <f>G6</f>
        <v>5</v>
      </c>
      <c r="P93" s="46"/>
    </row>
    <row r="94" spans="1:26" s="47" customFormat="1" ht="15.95" hidden="1" customHeight="1" x14ac:dyDescent="0.15">
      <c r="J94" s="48"/>
      <c r="K94" s="37"/>
      <c r="L94" s="48"/>
      <c r="M94" s="48"/>
      <c r="N94" s="37"/>
      <c r="O94" s="37"/>
      <c r="P94" s="37"/>
      <c r="V94" s="52"/>
      <c r="X94" s="52"/>
      <c r="Z94" s="52"/>
    </row>
    <row r="95" spans="1:26" s="47" customFormat="1" ht="15.95" hidden="1" customHeight="1" x14ac:dyDescent="0.15">
      <c r="A95" s="24"/>
      <c r="B95" s="49" t="s">
        <v>289</v>
      </c>
      <c r="C95" s="49"/>
      <c r="G95" s="50" t="s">
        <v>290</v>
      </c>
      <c r="H95" s="101"/>
      <c r="I95" s="43"/>
      <c r="J95" s="102"/>
      <c r="K95" s="51"/>
      <c r="L95" s="24"/>
      <c r="M95" s="24"/>
      <c r="N95" s="52" t="s">
        <v>291</v>
      </c>
      <c r="O95" s="360">
        <v>14</v>
      </c>
      <c r="P95" s="24"/>
      <c r="S95" s="24"/>
      <c r="V95" s="52"/>
      <c r="X95" s="52"/>
      <c r="Z95" s="52"/>
    </row>
    <row r="96" spans="1:26" s="47" customFormat="1" ht="15.95" hidden="1" customHeight="1" x14ac:dyDescent="0.15">
      <c r="A96" s="24"/>
      <c r="B96" s="49"/>
      <c r="C96" s="24"/>
      <c r="D96" s="24"/>
      <c r="E96" s="24"/>
      <c r="G96" s="37"/>
      <c r="I96" s="24"/>
      <c r="J96" s="49"/>
      <c r="K96" s="38"/>
      <c r="L96" s="24"/>
      <c r="M96" s="38" t="s">
        <v>292</v>
      </c>
      <c r="N96" s="103">
        <v>5</v>
      </c>
      <c r="O96" s="103">
        <v>6</v>
      </c>
      <c r="Q96" s="702" t="s">
        <v>293</v>
      </c>
      <c r="R96" s="703"/>
      <c r="S96" s="704" t="s">
        <v>328</v>
      </c>
      <c r="T96" s="705"/>
      <c r="U96" s="706"/>
      <c r="V96" s="52"/>
      <c r="X96" s="52"/>
      <c r="Z96" s="52"/>
    </row>
    <row r="97" spans="1:26" s="47" customFormat="1" ht="15.95" hidden="1" customHeight="1" x14ac:dyDescent="0.15">
      <c r="A97" s="24"/>
      <c r="B97" s="36" t="s">
        <v>344</v>
      </c>
      <c r="C97" s="20" t="s">
        <v>4</v>
      </c>
      <c r="D97" s="176">
        <f>D10</f>
        <v>2600</v>
      </c>
      <c r="E97" s="29" t="s">
        <v>479</v>
      </c>
      <c r="F97" s="24"/>
      <c r="G97" s="36" t="s">
        <v>294</v>
      </c>
      <c r="H97" s="20" t="s">
        <v>295</v>
      </c>
      <c r="I97" s="155">
        <f>2*D97*D99/(SQRT(D98*D100))</f>
        <v>147.27259356576931</v>
      </c>
      <c r="K97" s="38"/>
      <c r="L97" s="24"/>
      <c r="M97" s="24"/>
      <c r="N97" s="53">
        <v>0</v>
      </c>
      <c r="O97" s="53">
        <v>0</v>
      </c>
      <c r="P97" s="37" t="s">
        <v>296</v>
      </c>
      <c r="Q97" s="54" t="s">
        <v>297</v>
      </c>
      <c r="R97" s="55" t="s">
        <v>298</v>
      </c>
      <c r="S97" s="55">
        <v>1</v>
      </c>
      <c r="T97" s="56">
        <f>IF(O93=5, N97, O97)</f>
        <v>0</v>
      </c>
      <c r="U97" s="55" t="str">
        <f>P97</f>
        <v>S  ≤  S₁</v>
      </c>
      <c r="V97" s="52"/>
      <c r="X97" s="52"/>
      <c r="Z97" s="52"/>
    </row>
    <row r="98" spans="1:26" s="47" customFormat="1" ht="15.95" hidden="1" customHeight="1" x14ac:dyDescent="0.15">
      <c r="A98" s="24"/>
      <c r="B98" s="36" t="s">
        <v>299</v>
      </c>
      <c r="C98" s="20" t="s">
        <v>4</v>
      </c>
      <c r="D98" s="176">
        <f>D42</f>
        <v>462398.66666666663</v>
      </c>
      <c r="E98" s="29" t="s">
        <v>475</v>
      </c>
      <c r="F98" s="24"/>
      <c r="G98" s="57" t="s">
        <v>300</v>
      </c>
      <c r="H98" s="38"/>
      <c r="I98" s="38"/>
      <c r="J98" s="52"/>
      <c r="K98" s="38"/>
      <c r="L98" s="24"/>
      <c r="M98" s="24"/>
      <c r="N98" s="58">
        <v>0</v>
      </c>
      <c r="O98" s="58">
        <v>0</v>
      </c>
      <c r="P98" s="37" t="s">
        <v>301</v>
      </c>
      <c r="Q98" s="59">
        <f>IF(O93=5, N98,O98)</f>
        <v>0</v>
      </c>
      <c r="R98" s="60">
        <f>IF(O93=5,N100,O100)</f>
        <v>3823</v>
      </c>
      <c r="S98" s="62">
        <v>2</v>
      </c>
      <c r="T98" s="61">
        <f>IF(O93=5, N99, O99)</f>
        <v>9.6505085589175899</v>
      </c>
      <c r="U98" s="62" t="str">
        <f>P99</f>
        <v>S₁&lt;  S  &lt; S₂</v>
      </c>
      <c r="V98" s="52"/>
      <c r="X98" s="52"/>
      <c r="Z98" s="52"/>
    </row>
    <row r="99" spans="1:26" s="47" customFormat="1" ht="15.95" hidden="1" customHeight="1" x14ac:dyDescent="0.15">
      <c r="B99" s="36" t="s">
        <v>134</v>
      </c>
      <c r="C99" s="20" t="s">
        <v>4</v>
      </c>
      <c r="D99" s="176">
        <f>D44</f>
        <v>19870.579852681814</v>
      </c>
      <c r="E99" s="29" t="s">
        <v>471</v>
      </c>
      <c r="G99" s="36" t="str">
        <f>U101</f>
        <v>S₁&lt;  S  &lt; S₂</v>
      </c>
      <c r="J99" s="24"/>
      <c r="K99" s="38"/>
      <c r="L99" s="24"/>
      <c r="M99" s="24"/>
      <c r="N99" s="58">
        <f>10.5-0.07*SQRT(I97)</f>
        <v>9.6505085589175899</v>
      </c>
      <c r="O99" s="58">
        <f>16.7-0.14*SQRT(I97)</f>
        <v>15.001017117835179</v>
      </c>
      <c r="P99" s="37" t="s">
        <v>302</v>
      </c>
      <c r="Q99" s="104" t="s">
        <v>303</v>
      </c>
      <c r="S99" s="60">
        <v>3</v>
      </c>
      <c r="T99" s="63">
        <f>IF(O93=5, N101, O101)</f>
        <v>160.24026893680735</v>
      </c>
      <c r="U99" s="60" t="str">
        <f>P101</f>
        <v>S  ≥  S₂</v>
      </c>
      <c r="V99" s="52"/>
      <c r="X99" s="52"/>
      <c r="Z99" s="52"/>
    </row>
    <row r="100" spans="1:26" s="47" customFormat="1" ht="15.95" hidden="1" customHeight="1" thickBot="1" x14ac:dyDescent="0.2">
      <c r="A100" s="24"/>
      <c r="B100" s="36" t="s">
        <v>304</v>
      </c>
      <c r="C100" s="20" t="s">
        <v>4</v>
      </c>
      <c r="D100" s="176">
        <f>D45</f>
        <v>1064553.0909090908</v>
      </c>
      <c r="E100" s="29" t="s">
        <v>475</v>
      </c>
      <c r="F100" s="38"/>
      <c r="H100" s="38"/>
      <c r="I100" s="24"/>
      <c r="J100" s="24"/>
      <c r="K100" s="24"/>
      <c r="L100" s="24"/>
      <c r="M100" s="24"/>
      <c r="N100" s="58">
        <v>3823</v>
      </c>
      <c r="O100" s="58">
        <v>2400</v>
      </c>
      <c r="P100" s="37" t="s">
        <v>306</v>
      </c>
      <c r="Q100" s="55" t="s">
        <v>307</v>
      </c>
      <c r="V100" s="52"/>
      <c r="X100" s="52"/>
      <c r="Z100" s="52"/>
    </row>
    <row r="101" spans="1:26" s="47" customFormat="1" ht="15.95" hidden="1" customHeight="1" thickBot="1" x14ac:dyDescent="0.2">
      <c r="A101" s="24"/>
      <c r="B101" s="36" t="s">
        <v>308</v>
      </c>
      <c r="C101" s="20" t="s">
        <v>4</v>
      </c>
      <c r="D101" s="24">
        <f>T101</f>
        <v>9.6505085589175899</v>
      </c>
      <c r="E101" s="29" t="s">
        <v>187</v>
      </c>
      <c r="F101" s="38"/>
      <c r="K101" s="24"/>
      <c r="L101" s="24"/>
      <c r="M101" s="24"/>
      <c r="N101" s="64">
        <f>23599/I97</f>
        <v>160.24026893680735</v>
      </c>
      <c r="O101" s="64">
        <f>23599/I97</f>
        <v>160.24026893680735</v>
      </c>
      <c r="P101" s="37" t="s">
        <v>309</v>
      </c>
      <c r="Q101" s="60">
        <f>I97</f>
        <v>147.27259356576931</v>
      </c>
      <c r="S101" s="105">
        <f>IF(Q101&lt;=Q98,1,IF(AND(Q101&gt;Q98,Q101&lt;R98),2,3))</f>
        <v>2</v>
      </c>
      <c r="T101" s="65">
        <f>VLOOKUP(S101, S97:T99, 2, FALSE)</f>
        <v>9.6505085589175899</v>
      </c>
      <c r="U101" s="66" t="str">
        <f>VLOOKUP(S101,S97:U99, 3, FALSE)</f>
        <v>S₁&lt;  S  &lt; S₂</v>
      </c>
      <c r="V101" s="52"/>
      <c r="X101" s="52"/>
      <c r="Z101" s="52"/>
    </row>
    <row r="102" spans="1:26" s="47" customFormat="1" ht="15.95" hidden="1" customHeight="1" x14ac:dyDescent="0.15">
      <c r="A102" s="24"/>
      <c r="C102" s="20" t="s">
        <v>4</v>
      </c>
      <c r="D102" s="29">
        <f>D101*6.894757</f>
        <v>66.537911440156961</v>
      </c>
      <c r="E102" s="29" t="s">
        <v>457</v>
      </c>
      <c r="F102" s="38"/>
      <c r="G102" s="38"/>
      <c r="H102" s="38"/>
      <c r="I102" s="24"/>
      <c r="J102" s="24"/>
      <c r="K102" s="24"/>
      <c r="L102" s="24"/>
      <c r="M102" s="24"/>
      <c r="V102" s="52"/>
      <c r="X102" s="52"/>
      <c r="Z102" s="52"/>
    </row>
    <row r="103" spans="1:26" s="47" customFormat="1" ht="15.95" hidden="1" customHeight="1" x14ac:dyDescent="0.15">
      <c r="A103" s="24"/>
      <c r="C103" s="20"/>
      <c r="D103" s="29"/>
      <c r="E103" s="29"/>
      <c r="F103" s="38"/>
      <c r="G103" s="38"/>
      <c r="H103" s="38"/>
      <c r="I103" s="24"/>
      <c r="J103" s="24"/>
      <c r="K103" s="24"/>
      <c r="L103" s="24"/>
      <c r="M103" s="24"/>
      <c r="V103" s="52"/>
      <c r="X103" s="52"/>
      <c r="Z103" s="52"/>
    </row>
    <row r="104" spans="1:26" s="47" customFormat="1" ht="15.95" hidden="1" customHeight="1" x14ac:dyDescent="0.15">
      <c r="A104" s="24"/>
      <c r="B104" s="49" t="s">
        <v>310</v>
      </c>
      <c r="C104" s="49"/>
      <c r="D104" s="156"/>
      <c r="E104" s="156"/>
      <c r="G104" s="50" t="s">
        <v>311</v>
      </c>
      <c r="H104" s="101"/>
      <c r="I104" s="38"/>
      <c r="J104" s="102"/>
      <c r="K104" s="24"/>
      <c r="L104" s="24"/>
      <c r="M104" s="24"/>
      <c r="N104" s="52" t="s">
        <v>291</v>
      </c>
      <c r="O104" s="360">
        <v>16</v>
      </c>
      <c r="P104" s="24"/>
      <c r="S104" s="24"/>
      <c r="V104" s="52"/>
      <c r="X104" s="52"/>
      <c r="Z104" s="52"/>
    </row>
    <row r="105" spans="1:26" s="47" customFormat="1" ht="15.95" hidden="1" customHeight="1" x14ac:dyDescent="0.15">
      <c r="A105" s="24"/>
      <c r="B105" s="49"/>
      <c r="C105" s="49"/>
      <c r="D105" s="156"/>
      <c r="E105" s="156"/>
      <c r="F105" s="49"/>
      <c r="G105" s="49"/>
      <c r="H105" s="49"/>
      <c r="I105" s="24"/>
      <c r="J105" s="49"/>
      <c r="K105" s="24"/>
      <c r="L105" s="24"/>
      <c r="M105" s="38" t="s">
        <v>292</v>
      </c>
      <c r="N105" s="103">
        <v>5</v>
      </c>
      <c r="O105" s="103">
        <v>6</v>
      </c>
      <c r="Q105" s="702" t="s">
        <v>293</v>
      </c>
      <c r="R105" s="703"/>
      <c r="S105" s="704" t="s">
        <v>328</v>
      </c>
      <c r="T105" s="705"/>
      <c r="U105" s="706"/>
      <c r="V105" s="52"/>
      <c r="X105" s="52"/>
      <c r="Z105" s="52"/>
    </row>
    <row r="106" spans="1:26" s="47" customFormat="1" ht="15.95" hidden="1" customHeight="1" x14ac:dyDescent="0.15">
      <c r="A106" s="24"/>
      <c r="B106" s="36" t="s">
        <v>77</v>
      </c>
      <c r="C106" s="20" t="s">
        <v>4</v>
      </c>
      <c r="D106" s="23">
        <f>R40</f>
        <v>56</v>
      </c>
      <c r="E106" s="29" t="s">
        <v>479</v>
      </c>
      <c r="F106" s="24"/>
      <c r="G106" s="36" t="str">
        <f>U110</f>
        <v>S₁&lt;  S  &lt; S₂</v>
      </c>
      <c r="K106" s="24"/>
      <c r="L106" s="24"/>
      <c r="M106" s="24"/>
      <c r="N106" s="53">
        <v>9.6999999999999993</v>
      </c>
      <c r="O106" s="53">
        <v>15.2</v>
      </c>
      <c r="P106" s="37" t="s">
        <v>296</v>
      </c>
      <c r="Q106" s="54" t="s">
        <v>297</v>
      </c>
      <c r="R106" s="55" t="s">
        <v>298</v>
      </c>
      <c r="S106" s="55">
        <v>1</v>
      </c>
      <c r="T106" s="56">
        <f>IF(O93=5, N106, O106)</f>
        <v>9.6999999999999993</v>
      </c>
      <c r="U106" s="55" t="str">
        <f>P106</f>
        <v>S  ≤  S₁</v>
      </c>
      <c r="V106" s="52"/>
      <c r="X106" s="52"/>
      <c r="Z106" s="52"/>
    </row>
    <row r="107" spans="1:26" s="47" customFormat="1" ht="15.95" hidden="1" customHeight="1" x14ac:dyDescent="0.15">
      <c r="A107" s="24"/>
      <c r="B107" s="36" t="s">
        <v>333</v>
      </c>
      <c r="C107" s="20" t="s">
        <v>4</v>
      </c>
      <c r="D107" s="23">
        <f>R42</f>
        <v>2</v>
      </c>
      <c r="E107" s="29" t="s">
        <v>479</v>
      </c>
      <c r="G107" s="24"/>
      <c r="H107" s="24"/>
      <c r="I107" s="24"/>
      <c r="J107" s="24"/>
      <c r="K107" s="24"/>
      <c r="L107" s="24"/>
      <c r="M107" s="24"/>
      <c r="N107" s="58">
        <v>25.6</v>
      </c>
      <c r="O107" s="58">
        <v>22.8</v>
      </c>
      <c r="P107" s="37" t="s">
        <v>301</v>
      </c>
      <c r="Q107" s="59">
        <f>IF(O93=5, N107,O107)</f>
        <v>25.6</v>
      </c>
      <c r="R107" s="60">
        <f>IF(O93=5,N109,O109)</f>
        <v>50</v>
      </c>
      <c r="S107" s="62">
        <v>2</v>
      </c>
      <c r="T107" s="61">
        <f>IF(O93=5, N108, O108)</f>
        <v>9.4760000000000009</v>
      </c>
      <c r="U107" s="62" t="str">
        <f>P108</f>
        <v>S₁&lt;  S  &lt; S₂</v>
      </c>
      <c r="V107" s="52"/>
      <c r="X107" s="52"/>
      <c r="Z107" s="52"/>
    </row>
    <row r="108" spans="1:26" s="47" customFormat="1" ht="15.95" hidden="1" customHeight="1" x14ac:dyDescent="0.15">
      <c r="A108" s="24"/>
      <c r="B108" s="36" t="s">
        <v>356</v>
      </c>
      <c r="C108" s="20" t="s">
        <v>4</v>
      </c>
      <c r="D108" s="23">
        <f>D106/D107</f>
        <v>28</v>
      </c>
      <c r="E108" s="29"/>
      <c r="F108" s="24"/>
      <c r="H108" s="24"/>
      <c r="I108" s="24"/>
      <c r="J108" s="24"/>
      <c r="K108" s="24"/>
      <c r="L108" s="24"/>
      <c r="M108" s="24"/>
      <c r="N108" s="58">
        <f>11.8-0.083*D108</f>
        <v>9.4760000000000009</v>
      </c>
      <c r="O108" s="58">
        <f>19-0.17*(D108)</f>
        <v>14.239999999999998</v>
      </c>
      <c r="P108" s="37" t="s">
        <v>302</v>
      </c>
      <c r="Q108" s="104" t="s">
        <v>303</v>
      </c>
      <c r="S108" s="60">
        <v>3</v>
      </c>
      <c r="T108" s="63">
        <f>IF(O93=5, N110, O110)</f>
        <v>13.642857142857142</v>
      </c>
      <c r="U108" s="60" t="str">
        <f>P110</f>
        <v>S  ≥  S₂</v>
      </c>
      <c r="V108" s="52"/>
      <c r="X108" s="52"/>
      <c r="Z108" s="52"/>
    </row>
    <row r="109" spans="1:26" s="47" customFormat="1" ht="15.95" hidden="1" customHeight="1" thickBot="1" x14ac:dyDescent="0.2">
      <c r="A109" s="24"/>
      <c r="B109" s="36" t="s">
        <v>319</v>
      </c>
      <c r="C109" s="20" t="s">
        <v>4</v>
      </c>
      <c r="D109" s="24">
        <f>T110</f>
        <v>9.4760000000000009</v>
      </c>
      <c r="E109" s="29" t="s">
        <v>187</v>
      </c>
      <c r="F109" s="24"/>
      <c r="G109" s="24"/>
      <c r="H109" s="24"/>
      <c r="I109" s="24"/>
      <c r="J109" s="24"/>
      <c r="K109" s="24"/>
      <c r="L109" s="24"/>
      <c r="M109" s="24"/>
      <c r="N109" s="58">
        <v>50</v>
      </c>
      <c r="O109" s="58">
        <v>39</v>
      </c>
      <c r="P109" s="37" t="s">
        <v>306</v>
      </c>
      <c r="Q109" s="55" t="s">
        <v>307</v>
      </c>
      <c r="V109" s="52"/>
      <c r="X109" s="52"/>
      <c r="Z109" s="52"/>
    </row>
    <row r="110" spans="1:26" s="47" customFormat="1" ht="15.95" hidden="1" customHeight="1" thickBot="1" x14ac:dyDescent="0.2">
      <c r="A110" s="24"/>
      <c r="B110" s="43"/>
      <c r="C110" s="20" t="s">
        <v>4</v>
      </c>
      <c r="D110" s="29">
        <f>D109*6.894757</f>
        <v>65.334717332000011</v>
      </c>
      <c r="E110" s="29" t="s">
        <v>457</v>
      </c>
      <c r="F110" s="24"/>
      <c r="G110" s="24"/>
      <c r="H110" s="24"/>
      <c r="I110" s="24"/>
      <c r="J110" s="24"/>
      <c r="K110" s="24"/>
      <c r="L110" s="24"/>
      <c r="M110" s="24"/>
      <c r="N110" s="64">
        <f>382/D108</f>
        <v>13.642857142857142</v>
      </c>
      <c r="O110" s="64">
        <f>484/D108</f>
        <v>17.285714285714285</v>
      </c>
      <c r="P110" s="37" t="s">
        <v>309</v>
      </c>
      <c r="Q110" s="60">
        <f>D108</f>
        <v>28</v>
      </c>
      <c r="S110" s="105">
        <f>IF(Q110&lt;=Q107,1,IF(AND(Q110&gt;Q107,Q110&lt;R107),2,3))</f>
        <v>2</v>
      </c>
      <c r="T110" s="65">
        <f>VLOOKUP(S110, S106:T108, 2, FALSE)</f>
        <v>9.4760000000000009</v>
      </c>
      <c r="U110" s="66" t="str">
        <f>VLOOKUP(S110,S106:U108, 3, FALSE)</f>
        <v>S₁&lt;  S  &lt; S₂</v>
      </c>
      <c r="V110" s="52"/>
      <c r="X110" s="52"/>
      <c r="Z110" s="52"/>
    </row>
    <row r="111" spans="1:26" s="47" customFormat="1" ht="15.95" hidden="1" customHeight="1" x14ac:dyDescent="0.15">
      <c r="A111" s="24"/>
      <c r="C111" s="20"/>
      <c r="D111" s="29"/>
      <c r="E111" s="29"/>
      <c r="F111" s="38"/>
      <c r="G111" s="38"/>
      <c r="H111" s="38"/>
      <c r="I111" s="24"/>
      <c r="J111" s="24"/>
      <c r="K111" s="24"/>
      <c r="L111" s="24"/>
      <c r="M111" s="24"/>
      <c r="V111" s="52"/>
      <c r="X111" s="52"/>
      <c r="Z111" s="52"/>
    </row>
    <row r="112" spans="1:26" s="47" customFormat="1" ht="15.95" hidden="1" customHeight="1" x14ac:dyDescent="0.15">
      <c r="A112" s="24"/>
      <c r="B112" s="49" t="s">
        <v>310</v>
      </c>
      <c r="C112" s="49"/>
      <c r="D112" s="156"/>
      <c r="E112" s="156"/>
      <c r="F112" s="49"/>
      <c r="G112" s="50" t="s">
        <v>324</v>
      </c>
      <c r="H112" s="101"/>
      <c r="I112" s="24"/>
      <c r="J112" s="49"/>
      <c r="K112" s="24"/>
      <c r="L112" s="24"/>
      <c r="M112" s="24"/>
      <c r="N112" s="52" t="s">
        <v>291</v>
      </c>
      <c r="O112" s="360">
        <v>18</v>
      </c>
      <c r="P112" s="24"/>
      <c r="S112" s="24"/>
      <c r="V112" s="52"/>
      <c r="X112" s="52"/>
      <c r="Z112" s="52"/>
    </row>
    <row r="113" spans="1:26" s="47" customFormat="1" ht="15.95" hidden="1" customHeight="1" x14ac:dyDescent="0.15">
      <c r="A113" s="24"/>
      <c r="B113" s="49"/>
      <c r="C113" s="49"/>
      <c r="D113" s="156"/>
      <c r="E113" s="156"/>
      <c r="F113" s="49"/>
      <c r="G113" s="49"/>
      <c r="H113" s="49"/>
      <c r="I113" s="24"/>
      <c r="J113" s="49"/>
      <c r="K113" s="24"/>
      <c r="L113" s="24"/>
      <c r="M113" s="38" t="s">
        <v>292</v>
      </c>
      <c r="N113" s="103">
        <v>5</v>
      </c>
      <c r="O113" s="103">
        <v>6</v>
      </c>
      <c r="Q113" s="702" t="s">
        <v>293</v>
      </c>
      <c r="R113" s="703"/>
      <c r="S113" s="704" t="s">
        <v>328</v>
      </c>
      <c r="T113" s="705"/>
      <c r="U113" s="706"/>
      <c r="V113" s="52"/>
      <c r="X113" s="52"/>
      <c r="Z113" s="52"/>
    </row>
    <row r="114" spans="1:26" s="47" customFormat="1" ht="15.95" hidden="1" customHeight="1" x14ac:dyDescent="0.15">
      <c r="A114" s="24"/>
      <c r="B114" s="36" t="s">
        <v>76</v>
      </c>
      <c r="C114" s="20" t="s">
        <v>4</v>
      </c>
      <c r="D114" s="23">
        <f>R41</f>
        <v>116</v>
      </c>
      <c r="E114" s="29" t="s">
        <v>479</v>
      </c>
      <c r="F114" s="24"/>
      <c r="G114" s="36" t="str">
        <f>U118</f>
        <v>S  ≤  S₁</v>
      </c>
      <c r="K114" s="24"/>
      <c r="L114" s="24"/>
      <c r="M114" s="24"/>
      <c r="N114" s="53">
        <v>12.6</v>
      </c>
      <c r="O114" s="53">
        <v>19.7</v>
      </c>
      <c r="P114" s="37" t="s">
        <v>296</v>
      </c>
      <c r="Q114" s="54" t="s">
        <v>297</v>
      </c>
      <c r="R114" s="55" t="s">
        <v>298</v>
      </c>
      <c r="S114" s="55">
        <v>1</v>
      </c>
      <c r="T114" s="56">
        <f>IF(O93=5, N114, O114)</f>
        <v>12.6</v>
      </c>
      <c r="U114" s="55" t="str">
        <f>P114</f>
        <v>S  ≤  S₁</v>
      </c>
      <c r="V114" s="52"/>
      <c r="X114" s="52"/>
      <c r="Z114" s="52"/>
    </row>
    <row r="115" spans="1:26" s="47" customFormat="1" ht="15.95" hidden="1" customHeight="1" x14ac:dyDescent="0.15">
      <c r="A115" s="24"/>
      <c r="B115" s="36" t="s">
        <v>333</v>
      </c>
      <c r="C115" s="20" t="s">
        <v>4</v>
      </c>
      <c r="D115" s="23">
        <f>R43</f>
        <v>2</v>
      </c>
      <c r="E115" s="29" t="s">
        <v>479</v>
      </c>
      <c r="F115" s="24"/>
      <c r="H115" s="24"/>
      <c r="I115" s="24"/>
      <c r="J115" s="24"/>
      <c r="K115" s="24"/>
      <c r="L115" s="24"/>
      <c r="M115" s="24"/>
      <c r="N115" s="58">
        <v>61</v>
      </c>
      <c r="O115" s="58">
        <v>54.9</v>
      </c>
      <c r="P115" s="37" t="s">
        <v>301</v>
      </c>
      <c r="Q115" s="59">
        <f>IF(O93=5, N115,O115)</f>
        <v>61</v>
      </c>
      <c r="R115" s="60">
        <f>IF(O93=5,N117,O117)</f>
        <v>115</v>
      </c>
      <c r="S115" s="62">
        <v>2</v>
      </c>
      <c r="T115" s="61">
        <f>IF(O93=5, N116, O116)</f>
        <v>12.808000000000002</v>
      </c>
      <c r="U115" s="62" t="str">
        <f>P116</f>
        <v>S₁&lt;  S  &lt; S₂</v>
      </c>
      <c r="V115" s="52"/>
      <c r="X115" s="52"/>
      <c r="Z115" s="52"/>
    </row>
    <row r="116" spans="1:26" s="47" customFormat="1" ht="15.95" hidden="1" customHeight="1" x14ac:dyDescent="0.15">
      <c r="A116" s="24"/>
      <c r="B116" s="36" t="s">
        <v>357</v>
      </c>
      <c r="C116" s="20" t="s">
        <v>4</v>
      </c>
      <c r="D116" s="23">
        <f>D114/D115</f>
        <v>58</v>
      </c>
      <c r="E116" s="29"/>
      <c r="F116" s="24"/>
      <c r="H116" s="24"/>
      <c r="I116" s="24"/>
      <c r="J116" s="24"/>
      <c r="K116" s="24"/>
      <c r="L116" s="24"/>
      <c r="M116" s="24"/>
      <c r="N116" s="58">
        <f>17.1-0.074*D116</f>
        <v>12.808000000000002</v>
      </c>
      <c r="O116" s="58">
        <f>27.9-0.15*(D116)</f>
        <v>19.2</v>
      </c>
      <c r="P116" s="37" t="s">
        <v>302</v>
      </c>
      <c r="Q116" s="104" t="s">
        <v>303</v>
      </c>
      <c r="S116" s="60">
        <v>3</v>
      </c>
      <c r="T116" s="63">
        <f>IF(O93=5, N118, O118)</f>
        <v>17</v>
      </c>
      <c r="U116" s="60" t="str">
        <f>P118</f>
        <v>S  ≥  S₂</v>
      </c>
      <c r="V116" s="52"/>
      <c r="X116" s="52"/>
      <c r="Z116" s="52"/>
    </row>
    <row r="117" spans="1:26" s="47" customFormat="1" ht="15.95" hidden="1" customHeight="1" thickBot="1" x14ac:dyDescent="0.2">
      <c r="A117" s="24"/>
      <c r="B117" s="36" t="s">
        <v>335</v>
      </c>
      <c r="C117" s="20" t="s">
        <v>4</v>
      </c>
      <c r="D117" s="24">
        <f>T118</f>
        <v>12.6</v>
      </c>
      <c r="E117" s="29" t="s">
        <v>187</v>
      </c>
      <c r="F117" s="24"/>
      <c r="G117" s="24"/>
      <c r="H117" s="24"/>
      <c r="I117" s="24"/>
      <c r="J117" s="24"/>
      <c r="K117" s="24"/>
      <c r="L117" s="24"/>
      <c r="M117" s="24"/>
      <c r="N117" s="58">
        <v>115</v>
      </c>
      <c r="O117" s="58">
        <v>93</v>
      </c>
      <c r="P117" s="37" t="s">
        <v>306</v>
      </c>
      <c r="Q117" s="55" t="s">
        <v>307</v>
      </c>
      <c r="V117" s="52"/>
      <c r="X117" s="52"/>
      <c r="Z117" s="52"/>
    </row>
    <row r="118" spans="1:26" s="47" customFormat="1" ht="15.95" hidden="1" customHeight="1" thickBot="1" x14ac:dyDescent="0.2">
      <c r="A118" s="24"/>
      <c r="B118" s="38"/>
      <c r="C118" s="20" t="s">
        <v>4</v>
      </c>
      <c r="D118" s="29">
        <f>D117*6.894757</f>
        <v>86.873938199999998</v>
      </c>
      <c r="E118" s="29" t="s">
        <v>457</v>
      </c>
      <c r="F118" s="24"/>
      <c r="G118" s="24"/>
      <c r="H118" s="24"/>
      <c r="I118" s="24"/>
      <c r="J118" s="24"/>
      <c r="K118" s="24"/>
      <c r="L118" s="24"/>
      <c r="M118" s="24"/>
      <c r="N118" s="64">
        <f>986/D116</f>
        <v>17</v>
      </c>
      <c r="O118" s="64">
        <f>1298/D116</f>
        <v>22.379310344827587</v>
      </c>
      <c r="P118" s="37" t="s">
        <v>309</v>
      </c>
      <c r="Q118" s="60">
        <f>D116</f>
        <v>58</v>
      </c>
      <c r="S118" s="105">
        <f>IF(Q118&lt;=Q115,1,IF(AND(Q118&gt;Q115,Q118&lt;=R115),2,3))</f>
        <v>1</v>
      </c>
      <c r="T118" s="65">
        <f>VLOOKUP(S118, S114:T116, 2, FALSE)</f>
        <v>12.6</v>
      </c>
      <c r="U118" s="66" t="str">
        <f>VLOOKUP(S118,S114:U116, 3, FALSE)</f>
        <v>S  ≤  S₁</v>
      </c>
      <c r="V118" s="52"/>
      <c r="X118" s="52"/>
      <c r="Z118" s="52"/>
    </row>
    <row r="119" spans="1:26" s="47" customFormat="1" ht="15.95" hidden="1" customHeight="1" x14ac:dyDescent="0.15">
      <c r="A119" s="24"/>
      <c r="B119" s="24"/>
      <c r="C119" s="24"/>
      <c r="D119" s="29"/>
      <c r="E119" s="29"/>
      <c r="F119" s="24"/>
      <c r="G119" s="24"/>
      <c r="H119" s="24"/>
      <c r="I119" s="24"/>
      <c r="J119" s="24"/>
      <c r="K119" s="24"/>
      <c r="L119" s="24"/>
      <c r="M119" s="24"/>
      <c r="N119" s="37"/>
      <c r="V119" s="52"/>
      <c r="X119" s="52"/>
      <c r="Z119" s="52"/>
    </row>
    <row r="120" spans="1:26" s="47" customFormat="1" ht="15.95" hidden="1" customHeight="1" x14ac:dyDescent="0.15">
      <c r="A120" s="24"/>
      <c r="B120" s="35" t="s">
        <v>336</v>
      </c>
      <c r="C120" s="24"/>
      <c r="D120" s="29"/>
      <c r="E120" s="19" t="s">
        <v>337</v>
      </c>
      <c r="F120" s="24" t="s">
        <v>338</v>
      </c>
      <c r="G120" s="24"/>
      <c r="H120" s="24"/>
      <c r="I120" s="24"/>
      <c r="J120" s="24"/>
      <c r="K120" s="24"/>
      <c r="L120" s="24"/>
      <c r="M120" s="24"/>
      <c r="N120" s="37"/>
      <c r="V120" s="52"/>
      <c r="X120" s="52"/>
      <c r="Z120" s="52"/>
    </row>
    <row r="121" spans="1:26" s="47" customFormat="1" ht="15.95" hidden="1" customHeight="1" x14ac:dyDescent="0.15">
      <c r="A121" s="24"/>
      <c r="B121" s="35"/>
      <c r="C121" s="24"/>
      <c r="D121" s="29"/>
      <c r="E121" s="29"/>
      <c r="F121" s="24"/>
      <c r="G121" s="24"/>
      <c r="H121" s="24"/>
      <c r="I121" s="24"/>
      <c r="J121" s="24"/>
      <c r="K121" s="24"/>
      <c r="L121" s="24"/>
      <c r="M121" s="24"/>
      <c r="N121" s="37"/>
      <c r="V121" s="52"/>
      <c r="X121" s="52"/>
      <c r="Z121" s="52"/>
    </row>
    <row r="122" spans="1:26" s="47" customFormat="1" ht="15.95" hidden="1" customHeight="1" x14ac:dyDescent="0.15">
      <c r="A122" s="24"/>
      <c r="B122" s="36" t="s">
        <v>135</v>
      </c>
      <c r="C122" s="20" t="s">
        <v>4</v>
      </c>
      <c r="D122" s="695" t="s">
        <v>1045</v>
      </c>
      <c r="E122" s="695"/>
      <c r="F122" s="24"/>
      <c r="G122" s="24"/>
      <c r="H122" s="24"/>
      <c r="I122" s="24"/>
      <c r="J122" s="24"/>
      <c r="K122" s="24"/>
      <c r="L122" s="24"/>
      <c r="M122" s="24"/>
      <c r="N122" s="37"/>
      <c r="V122" s="52"/>
      <c r="X122" s="52"/>
      <c r="Z122" s="52"/>
    </row>
    <row r="123" spans="1:26" s="47" customFormat="1" ht="15.95" hidden="1" customHeight="1" x14ac:dyDescent="0.15">
      <c r="A123" s="24"/>
      <c r="B123" s="38"/>
      <c r="C123" s="20" t="s">
        <v>4</v>
      </c>
      <c r="D123" s="23">
        <f>D14/D44</f>
        <v>0</v>
      </c>
      <c r="E123" s="29" t="s">
        <v>457</v>
      </c>
      <c r="F123" s="24"/>
      <c r="G123" s="24"/>
      <c r="H123" s="24"/>
      <c r="I123" s="24"/>
      <c r="J123" s="24"/>
      <c r="K123" s="24"/>
      <c r="L123" s="24"/>
      <c r="M123" s="24"/>
      <c r="N123" s="24"/>
      <c r="O123" s="24"/>
      <c r="V123" s="52"/>
      <c r="X123" s="52"/>
      <c r="Z123" s="52"/>
    </row>
    <row r="124" spans="1:26" s="47" customFormat="1" ht="15.95" hidden="1" customHeight="1" x14ac:dyDescent="0.15">
      <c r="A124" s="24"/>
      <c r="B124" s="36" t="s">
        <v>139</v>
      </c>
      <c r="C124" s="20" t="s">
        <v>4</v>
      </c>
      <c r="D124" s="22" t="s">
        <v>341</v>
      </c>
      <c r="E124" s="157"/>
      <c r="F124" s="36"/>
      <c r="H124" s="24"/>
      <c r="I124" s="24"/>
      <c r="J124" s="24"/>
      <c r="K124" s="24"/>
      <c r="L124" s="24"/>
      <c r="M124" s="24"/>
      <c r="N124" s="24"/>
      <c r="O124" s="24"/>
      <c r="V124" s="52"/>
      <c r="X124" s="52"/>
      <c r="Z124" s="52"/>
    </row>
    <row r="125" spans="1:26" s="47" customFormat="1" ht="15.95" hidden="1" customHeight="1" x14ac:dyDescent="0.15">
      <c r="A125" s="24"/>
      <c r="B125" s="43"/>
      <c r="C125" s="20" t="s">
        <v>4</v>
      </c>
      <c r="D125" s="67">
        <f>MIN(D102,D110,D118)</f>
        <v>65.334717332000011</v>
      </c>
      <c r="E125" s="29" t="s">
        <v>457</v>
      </c>
      <c r="F125" s="24"/>
      <c r="G125" s="38"/>
      <c r="H125" s="43"/>
      <c r="I125" s="38"/>
      <c r="J125" s="24"/>
      <c r="K125" s="24"/>
      <c r="L125" s="24"/>
      <c r="M125" s="24"/>
      <c r="N125" s="24"/>
      <c r="O125" s="24"/>
      <c r="V125" s="52"/>
      <c r="X125" s="52"/>
      <c r="Z125" s="52"/>
    </row>
    <row r="126" spans="1:26" s="47" customFormat="1" ht="15.95" hidden="1" customHeight="1" x14ac:dyDescent="0.15">
      <c r="A126" s="24"/>
      <c r="C126" s="20"/>
      <c r="F126" s="24"/>
      <c r="G126" s="24"/>
      <c r="H126" s="24"/>
      <c r="I126" s="24"/>
      <c r="J126" s="24"/>
      <c r="K126" s="24"/>
      <c r="L126" s="24"/>
      <c r="M126" s="24"/>
      <c r="N126" s="24"/>
      <c r="O126" s="24"/>
      <c r="V126" s="52"/>
      <c r="X126" s="52"/>
      <c r="Z126" s="52"/>
    </row>
    <row r="127" spans="1:26" ht="15.95" hidden="1" customHeight="1" x14ac:dyDescent="0.15">
      <c r="N127" s="20"/>
    </row>
    <row r="128" spans="1:26" ht="15.95" hidden="1" customHeight="1" x14ac:dyDescent="0.15">
      <c r="B128" s="35" t="s">
        <v>142</v>
      </c>
      <c r="N128" s="20"/>
    </row>
    <row r="129" spans="1:14" ht="15.95" hidden="1" customHeight="1" x14ac:dyDescent="0.15">
      <c r="N129" s="20"/>
    </row>
    <row r="130" spans="1:14" ht="15.95" hidden="1" customHeight="1" x14ac:dyDescent="0.15">
      <c r="B130" s="36" t="s">
        <v>358</v>
      </c>
      <c r="C130" s="20" t="s">
        <v>4</v>
      </c>
      <c r="D130" s="38">
        <f>D123/D125</f>
        <v>0</v>
      </c>
      <c r="E130" s="39" t="str">
        <f>IF(D130&gt;F130,"&gt;","&lt;")</f>
        <v>&lt;</v>
      </c>
      <c r="F130" s="19">
        <v>1</v>
      </c>
      <c r="G130" s="107" t="str">
        <f>IF(D130&lt;F130,"O.K.","N.G.")</f>
        <v>O.K.</v>
      </c>
      <c r="N130" s="20"/>
    </row>
    <row r="131" spans="1:14" ht="15.95" hidden="1" customHeight="1" x14ac:dyDescent="0.15">
      <c r="B131" s="68"/>
      <c r="D131" s="43"/>
      <c r="N131" s="20"/>
    </row>
    <row r="132" spans="1:14" ht="15.95" hidden="1" customHeight="1" x14ac:dyDescent="0.15">
      <c r="A132" s="43"/>
      <c r="B132" s="43"/>
      <c r="C132" s="43"/>
      <c r="D132" s="43"/>
      <c r="E132" s="43"/>
      <c r="F132" s="49"/>
      <c r="G132" s="43"/>
      <c r="H132" s="43"/>
      <c r="I132" s="43"/>
      <c r="J132" s="43"/>
      <c r="K132" s="43"/>
      <c r="L132" s="43"/>
      <c r="M132" s="43"/>
      <c r="N132" s="20"/>
    </row>
    <row r="133" spans="1:14" ht="15.95" hidden="1" customHeight="1" x14ac:dyDescent="0.15">
      <c r="A133" s="43"/>
      <c r="B133" s="43"/>
      <c r="C133" s="43"/>
      <c r="D133" s="43"/>
      <c r="E133" s="43"/>
      <c r="F133" s="43"/>
      <c r="G133" s="43"/>
      <c r="H133" s="43"/>
      <c r="I133" s="43"/>
      <c r="J133" s="43"/>
      <c r="K133" s="43"/>
      <c r="L133" s="43"/>
      <c r="M133" s="43"/>
      <c r="N133" s="20"/>
    </row>
    <row r="134" spans="1:14" ht="15.95" hidden="1" customHeight="1" x14ac:dyDescent="0.15">
      <c r="A134" s="43"/>
      <c r="B134" s="43"/>
      <c r="C134" s="43"/>
      <c r="D134" s="43"/>
      <c r="E134" s="43"/>
      <c r="F134" s="43"/>
      <c r="G134" s="43"/>
      <c r="H134" s="43"/>
      <c r="I134" s="43"/>
      <c r="J134" s="43"/>
      <c r="K134" s="43"/>
      <c r="L134" s="43"/>
      <c r="M134" s="43"/>
      <c r="N134" s="20"/>
    </row>
    <row r="135" spans="1:14" ht="15.95" hidden="1" customHeight="1" x14ac:dyDescent="0.15">
      <c r="B135" s="49"/>
      <c r="D135" s="43"/>
    </row>
    <row r="136" spans="1:14" ht="15.95" hidden="1" customHeight="1" x14ac:dyDescent="0.15">
      <c r="B136" s="49"/>
      <c r="D136" s="43"/>
    </row>
    <row r="137" spans="1:14" ht="15.95" hidden="1" customHeight="1" x14ac:dyDescent="0.15">
      <c r="B137" s="49"/>
      <c r="D137" s="43"/>
    </row>
    <row r="138" spans="1:14" ht="15.95" hidden="1" customHeight="1" x14ac:dyDescent="0.15">
      <c r="B138" s="49"/>
      <c r="D138" s="43"/>
    </row>
    <row r="139" spans="1:14" ht="15.95" hidden="1" customHeight="1" x14ac:dyDescent="0.15">
      <c r="B139" s="40" t="s">
        <v>145</v>
      </c>
    </row>
    <row r="140" spans="1:14" ht="15.95" hidden="1" customHeight="1" x14ac:dyDescent="0.15"/>
    <row r="141" spans="1:14" ht="15.95" hidden="1" customHeight="1" x14ac:dyDescent="0.15">
      <c r="B141" s="35" t="s">
        <v>147</v>
      </c>
    </row>
    <row r="142" spans="1:14" ht="15.95" hidden="1" customHeight="1" x14ac:dyDescent="0.15">
      <c r="B142" s="35"/>
    </row>
    <row r="143" spans="1:14" ht="15.95" hidden="1" customHeight="1" x14ac:dyDescent="0.15">
      <c r="B143" s="78" t="s">
        <v>120</v>
      </c>
      <c r="C143" s="20" t="s">
        <v>4</v>
      </c>
      <c r="D143" s="24">
        <f>D16</f>
        <v>0</v>
      </c>
      <c r="E143" s="29" t="s">
        <v>479</v>
      </c>
    </row>
    <row r="144" spans="1:14" ht="15.95" hidden="1" customHeight="1" x14ac:dyDescent="0.15"/>
    <row r="145" spans="1:26" ht="15.95" hidden="1" customHeight="1" x14ac:dyDescent="0.15"/>
    <row r="146" spans="1:26" ht="15.95" hidden="1" customHeight="1" x14ac:dyDescent="0.15">
      <c r="B146" s="35" t="s">
        <v>146</v>
      </c>
      <c r="E146" s="42" t="s">
        <v>150</v>
      </c>
    </row>
    <row r="147" spans="1:26" ht="15.95" hidden="1" customHeight="1" x14ac:dyDescent="0.15">
      <c r="B147" s="35"/>
    </row>
    <row r="148" spans="1:26" ht="15.95" hidden="1" customHeight="1" x14ac:dyDescent="0.15">
      <c r="B148" s="78" t="s">
        <v>2</v>
      </c>
      <c r="C148" s="20" t="s">
        <v>4</v>
      </c>
      <c r="D148" s="167">
        <f>D9</f>
        <v>5000</v>
      </c>
      <c r="E148" s="24" t="str">
        <f>IF(D148&gt;4110,"mm      &gt;     4110 mm","mm     ≤     4110 mm")</f>
        <v>mm      &gt;     4110 mm</v>
      </c>
      <c r="M148" s="43" t="s">
        <v>151</v>
      </c>
      <c r="N148" s="41">
        <f>D148/240+6.35</f>
        <v>27.18333333333333</v>
      </c>
    </row>
    <row r="149" spans="1:26" ht="15.95" hidden="1" customHeight="1" x14ac:dyDescent="0.15">
      <c r="B149" s="78" t="s">
        <v>148</v>
      </c>
      <c r="C149" s="20" t="s">
        <v>4</v>
      </c>
      <c r="D149" s="177">
        <f>D148</f>
        <v>5000</v>
      </c>
      <c r="E149" s="35" t="str">
        <f>IF(D148&lt;4110,"mm      /     175","mm      /      240 + 6.35 mm ")</f>
        <v xml:space="preserve">mm      /      240 + 6.35 mm </v>
      </c>
      <c r="M149" s="43" t="s">
        <v>152</v>
      </c>
      <c r="N149" s="41">
        <f>D148/175</f>
        <v>28.571428571428573</v>
      </c>
    </row>
    <row r="150" spans="1:26" ht="15.95" hidden="1" customHeight="1" x14ac:dyDescent="0.15">
      <c r="B150" s="38"/>
      <c r="C150" s="20" t="s">
        <v>4</v>
      </c>
      <c r="D150" s="38">
        <f>IF(D148&gt;4110,N148,N149)</f>
        <v>27.18333333333333</v>
      </c>
      <c r="E150" s="24" t="s">
        <v>496</v>
      </c>
    </row>
    <row r="151" spans="1:26" ht="15.95" hidden="1" customHeight="1" x14ac:dyDescent="0.15"/>
    <row r="152" spans="1:26" ht="15.95" hidden="1" customHeight="1" x14ac:dyDescent="0.15"/>
    <row r="153" spans="1:26" ht="15.95" hidden="1" customHeight="1" x14ac:dyDescent="0.15">
      <c r="B153" s="35" t="s">
        <v>153</v>
      </c>
    </row>
    <row r="154" spans="1:26" s="20" customFormat="1" ht="15.95" hidden="1" customHeight="1" x14ac:dyDescent="0.15">
      <c r="A154" s="43"/>
      <c r="C154" s="43"/>
      <c r="D154" s="43"/>
      <c r="E154" s="43"/>
      <c r="F154" s="43"/>
      <c r="G154" s="43"/>
      <c r="H154" s="43"/>
      <c r="I154" s="43"/>
      <c r="J154" s="43"/>
      <c r="K154" s="43"/>
      <c r="L154" s="43"/>
      <c r="M154" s="43"/>
      <c r="O154" s="24"/>
      <c r="P154" s="24"/>
      <c r="Q154" s="24"/>
      <c r="R154" s="24"/>
      <c r="S154" s="24"/>
      <c r="T154" s="24"/>
      <c r="U154" s="24"/>
      <c r="V154" s="38"/>
      <c r="X154" s="38"/>
      <c r="Z154" s="38"/>
    </row>
    <row r="155" spans="1:26" s="20" customFormat="1" ht="15.95" hidden="1" customHeight="1" x14ac:dyDescent="0.15">
      <c r="A155" s="24"/>
      <c r="B155" s="36" t="s">
        <v>359</v>
      </c>
      <c r="C155" s="20" t="s">
        <v>4</v>
      </c>
      <c r="D155" s="38">
        <f>D143/(D150)</f>
        <v>0</v>
      </c>
      <c r="E155" s="39" t="str">
        <f>IF(D155&gt;F155,"&gt;","&lt;")</f>
        <v>&lt;</v>
      </c>
      <c r="F155" s="19">
        <v>1</v>
      </c>
      <c r="G155" s="107" t="str">
        <f>IF(D155&lt;F155,"O.K.","N.G.")</f>
        <v>O.K.</v>
      </c>
      <c r="I155" s="43"/>
      <c r="J155" s="43"/>
      <c r="K155" s="43"/>
      <c r="L155" s="43"/>
      <c r="M155" s="43"/>
      <c r="O155" s="24"/>
      <c r="P155" s="24"/>
      <c r="Q155" s="24"/>
      <c r="R155" s="24"/>
      <c r="S155" s="24"/>
      <c r="T155" s="24"/>
      <c r="U155" s="24"/>
      <c r="V155" s="38"/>
      <c r="X155" s="38"/>
      <c r="Z155" s="38"/>
    </row>
    <row r="156" spans="1:26" ht="15.95" hidden="1" customHeight="1" x14ac:dyDescent="0.15"/>
    <row r="157" spans="1:26" ht="15.95" hidden="1" customHeight="1" x14ac:dyDescent="0.15"/>
  </sheetData>
  <sheetProtection algorithmName="SHA-512" hashValue="VcuRzsYRDSPgB6YWZPKfnyZY+FdWt3eGCHZx7qzt7PtUYmQbFVEXgI9tqCFm/ntyaMKJNzzjQE51PTG4ZzSzPQ==" saltValue="3aukTtdKsDBYkPc73vOEAA==" spinCount="100000" sheet="1" objects="1" scenarios="1" selectLockedCells="1"/>
  <protectedRanges>
    <protectedRange sqref="D7:D10" name="범위1_2"/>
  </protectedRanges>
  <mergeCells count="12">
    <mergeCell ref="M6:N6"/>
    <mergeCell ref="D122:E122"/>
    <mergeCell ref="G22:K45"/>
    <mergeCell ref="Q96:R96"/>
    <mergeCell ref="S96:U96"/>
    <mergeCell ref="Q105:R105"/>
    <mergeCell ref="S105:U105"/>
    <mergeCell ref="Q113:R113"/>
    <mergeCell ref="S113:U113"/>
    <mergeCell ref="N13:N14"/>
    <mergeCell ref="O13:O14"/>
    <mergeCell ref="B46:K46"/>
  </mergeCells>
  <phoneticPr fontId="2" type="noConversion"/>
  <pageMargins left="0.51181102362204722" right="0.51181102362204722" top="0.78740157480314965" bottom="0.59055118110236227" header="0.39370078740157483" footer="0.39370078740157483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>
    <tabColor rgb="FF00B0F0"/>
  </sheetPr>
  <dimension ref="A1:AA184"/>
  <sheetViews>
    <sheetView view="pageBreakPreview" zoomScale="75" zoomScaleNormal="100" zoomScaleSheetLayoutView="75" workbookViewId="0">
      <selection activeCell="G6" sqref="G6"/>
    </sheetView>
  </sheetViews>
  <sheetFormatPr defaultRowHeight="15.95" customHeight="1" x14ac:dyDescent="0.15"/>
  <cols>
    <col min="1" max="1" width="2.77734375" style="24" customWidth="1"/>
    <col min="2" max="2" width="7.33203125" style="24" customWidth="1"/>
    <col min="3" max="3" width="5.33203125" style="24" customWidth="1"/>
    <col min="4" max="4" width="9.33203125" style="24" customWidth="1"/>
    <col min="5" max="5" width="5.33203125" style="24" customWidth="1"/>
    <col min="6" max="6" width="9.33203125" style="24" customWidth="1"/>
    <col min="7" max="8" width="7.33203125" style="24" customWidth="1"/>
    <col min="9" max="9" width="5.33203125" style="24" customWidth="1"/>
    <col min="10" max="10" width="9.33203125" style="24" customWidth="1"/>
    <col min="11" max="11" width="7.33203125" style="24" customWidth="1"/>
    <col min="12" max="12" width="2.77734375" style="24" customWidth="1"/>
    <col min="13" max="14" width="6.77734375" style="24" customWidth="1"/>
    <col min="15" max="15" width="8.77734375" style="24" customWidth="1"/>
    <col min="16" max="16" width="9.77734375" style="24" customWidth="1"/>
    <col min="17" max="17" width="6.77734375" style="24" customWidth="1"/>
    <col min="18" max="18" width="8.77734375" style="24" customWidth="1"/>
    <col min="19" max="20" width="6.77734375" style="24" customWidth="1"/>
    <col min="21" max="21" width="9.77734375" style="24" hidden="1" customWidth="1"/>
    <col min="22" max="22" width="0" style="38" hidden="1" customWidth="1"/>
    <col min="23" max="23" width="5.77734375" style="24" hidden="1" customWidth="1"/>
    <col min="24" max="24" width="5.77734375" style="38" hidden="1" customWidth="1"/>
    <col min="25" max="25" width="5.77734375" style="24" hidden="1" customWidth="1"/>
    <col min="26" max="26" width="5.77734375" style="38" hidden="1" customWidth="1"/>
    <col min="27" max="27" width="5.77734375" style="24" hidden="1" customWidth="1"/>
    <col min="28" max="28" width="0" style="24" hidden="1" customWidth="1"/>
    <col min="29" max="16384" width="8.88671875" style="24"/>
  </cols>
  <sheetData>
    <row r="1" spans="1:17" ht="15.95" customHeight="1" x14ac:dyDescent="0.15">
      <c r="A1" s="76" t="s">
        <v>188</v>
      </c>
    </row>
    <row r="3" spans="1:17" ht="15.95" customHeight="1" x14ac:dyDescent="0.15">
      <c r="B3" s="77" t="s">
        <v>58</v>
      </c>
    </row>
    <row r="5" spans="1:17" ht="15.95" customHeight="1" x14ac:dyDescent="0.15">
      <c r="B5" s="78" t="s">
        <v>59</v>
      </c>
      <c r="C5" s="20" t="s">
        <v>4</v>
      </c>
      <c r="D5" s="42">
        <f>(SUMPRODUCT((N8:N10=N7)*(O7:P7=M7),O8:P10))</f>
        <v>0</v>
      </c>
      <c r="E5" s="43" t="s">
        <v>456</v>
      </c>
      <c r="H5" s="36" t="s">
        <v>69</v>
      </c>
      <c r="I5" s="49"/>
      <c r="M5" s="38"/>
      <c r="P5" s="12"/>
      <c r="Q5" s="12"/>
    </row>
    <row r="6" spans="1:17" ht="15.95" customHeight="1" x14ac:dyDescent="0.15">
      <c r="B6" s="78" t="s">
        <v>190</v>
      </c>
      <c r="C6" s="20" t="s">
        <v>4</v>
      </c>
      <c r="D6" s="172">
        <f>710100/100*9.80665</f>
        <v>69637.021649999995</v>
      </c>
      <c r="E6" s="43" t="s">
        <v>457</v>
      </c>
      <c r="F6" s="80" t="s">
        <v>191</v>
      </c>
      <c r="G6" s="561">
        <v>5</v>
      </c>
      <c r="H6" s="36" t="s">
        <v>203</v>
      </c>
      <c r="I6" s="43"/>
      <c r="M6" s="694" t="s">
        <v>543</v>
      </c>
      <c r="N6" s="694"/>
      <c r="O6" s="188"/>
      <c r="P6" s="189"/>
    </row>
    <row r="7" spans="1:17" ht="15.95" customHeight="1" x14ac:dyDescent="0.15">
      <c r="B7" s="78" t="s">
        <v>60</v>
      </c>
      <c r="C7" s="20" t="s">
        <v>4</v>
      </c>
      <c r="D7" s="560">
        <v>1200</v>
      </c>
      <c r="E7" s="43" t="s">
        <v>458</v>
      </c>
      <c r="H7" s="36" t="s">
        <v>70</v>
      </c>
      <c r="M7" s="562" t="s">
        <v>541</v>
      </c>
      <c r="N7" s="563">
        <v>1</v>
      </c>
      <c r="O7" s="185" t="s">
        <v>541</v>
      </c>
      <c r="P7" s="185" t="s">
        <v>542</v>
      </c>
    </row>
    <row r="8" spans="1:17" ht="15.95" customHeight="1" x14ac:dyDescent="0.15">
      <c r="B8" s="78" t="s">
        <v>61</v>
      </c>
      <c r="C8" s="20" t="s">
        <v>4</v>
      </c>
      <c r="D8" s="560">
        <v>1500</v>
      </c>
      <c r="E8" s="43" t="s">
        <v>458</v>
      </c>
      <c r="H8" s="36" t="s">
        <v>71</v>
      </c>
      <c r="M8" s="190" t="s">
        <v>453</v>
      </c>
      <c r="N8" s="186">
        <v>1</v>
      </c>
      <c r="O8" s="187" t="str">
        <f>풍하중!T8</f>
        <v>-</v>
      </c>
      <c r="P8" s="187">
        <f>풍하중!U8</f>
        <v>1.52</v>
      </c>
    </row>
    <row r="9" spans="1:17" ht="15.95" customHeight="1" x14ac:dyDescent="0.15">
      <c r="B9" s="80" t="s">
        <v>392</v>
      </c>
      <c r="C9" s="20" t="s">
        <v>4</v>
      </c>
      <c r="D9" s="560">
        <v>5000</v>
      </c>
      <c r="E9" s="43" t="s">
        <v>458</v>
      </c>
      <c r="H9" s="36" t="s">
        <v>401</v>
      </c>
      <c r="I9" s="43"/>
      <c r="M9" s="190" t="s">
        <v>454</v>
      </c>
      <c r="N9" s="186">
        <v>2</v>
      </c>
      <c r="O9" s="187" t="str">
        <f>풍하중!T9</f>
        <v>-</v>
      </c>
      <c r="P9" s="187">
        <f>풍하중!U9</f>
        <v>-1.1619999999999999</v>
      </c>
    </row>
    <row r="10" spans="1:17" ht="15.95" customHeight="1" x14ac:dyDescent="0.15">
      <c r="B10" s="80" t="s">
        <v>393</v>
      </c>
      <c r="C10" s="20" t="s">
        <v>4</v>
      </c>
      <c r="D10" s="560">
        <v>2600</v>
      </c>
      <c r="E10" s="43" t="s">
        <v>458</v>
      </c>
      <c r="H10" s="36" t="s">
        <v>72</v>
      </c>
      <c r="M10" s="190" t="s">
        <v>455</v>
      </c>
      <c r="N10" s="186">
        <v>3</v>
      </c>
      <c r="O10" s="187" t="str">
        <f>풍하중!T10</f>
        <v>-</v>
      </c>
      <c r="P10" s="187">
        <f>풍하중!U10</f>
        <v>-1.39</v>
      </c>
    </row>
    <row r="11" spans="1:17" ht="15.95" customHeight="1" x14ac:dyDescent="0.15">
      <c r="B11" s="36"/>
      <c r="C11" s="20"/>
      <c r="D11" s="150"/>
      <c r="E11" s="43"/>
      <c r="H11" s="36"/>
      <c r="I11" s="36"/>
    </row>
    <row r="12" spans="1:17" ht="15.95" customHeight="1" x14ac:dyDescent="0.15">
      <c r="B12" s="80"/>
      <c r="C12" s="20"/>
      <c r="D12" s="150"/>
      <c r="E12" s="43"/>
      <c r="I12" s="36"/>
    </row>
    <row r="13" spans="1:17" ht="15.95" customHeight="1" x14ac:dyDescent="0.15">
      <c r="M13" s="165"/>
      <c r="N13" s="698"/>
      <c r="O13" s="698"/>
    </row>
    <row r="14" spans="1:17" ht="15.95" customHeight="1" x14ac:dyDescent="0.15">
      <c r="B14" s="36" t="s">
        <v>65</v>
      </c>
      <c r="C14" s="20" t="s">
        <v>4</v>
      </c>
      <c r="D14" s="172">
        <f>D84</f>
        <v>0</v>
      </c>
      <c r="E14" s="43" t="s">
        <v>511</v>
      </c>
      <c r="F14" s="36"/>
      <c r="G14" s="80" t="s">
        <v>488</v>
      </c>
      <c r="H14" s="162" t="s">
        <v>66</v>
      </c>
      <c r="I14" s="20" t="s">
        <v>4</v>
      </c>
      <c r="J14" s="108">
        <f>D130</f>
        <v>0</v>
      </c>
      <c r="K14" s="83" t="str">
        <f>IF(J14&lt;1,"O.K","N.G")</f>
        <v>O.K</v>
      </c>
      <c r="M14" s="165"/>
      <c r="N14" s="698"/>
      <c r="O14" s="698"/>
    </row>
    <row r="15" spans="1:17" ht="15.95" customHeight="1" x14ac:dyDescent="0.15">
      <c r="G15" s="80" t="s">
        <v>489</v>
      </c>
      <c r="H15" s="162" t="s">
        <v>66</v>
      </c>
      <c r="I15" s="20" t="s">
        <v>4</v>
      </c>
      <c r="J15" s="108">
        <f>D163</f>
        <v>0</v>
      </c>
      <c r="K15" s="83" t="str">
        <f>IF(J15&lt;1,"O.K","N.G")</f>
        <v>O.K</v>
      </c>
    </row>
    <row r="16" spans="1:17" ht="15.95" customHeight="1" x14ac:dyDescent="0.15">
      <c r="B16" s="36" t="s">
        <v>120</v>
      </c>
      <c r="C16" s="20" t="s">
        <v>4</v>
      </c>
      <c r="D16" s="79">
        <f>D87</f>
        <v>0</v>
      </c>
      <c r="E16" s="43" t="s">
        <v>458</v>
      </c>
      <c r="F16" s="36"/>
      <c r="O16" s="698"/>
      <c r="Q16" s="698"/>
    </row>
    <row r="17" spans="2:26" ht="15.95" customHeight="1" x14ac:dyDescent="0.15">
      <c r="B17" s="36" t="s">
        <v>484</v>
      </c>
      <c r="C17" s="20" t="s">
        <v>4</v>
      </c>
      <c r="D17" s="79">
        <f>D177</f>
        <v>27.18333333333333</v>
      </c>
      <c r="E17" s="43" t="s">
        <v>458</v>
      </c>
      <c r="H17" s="80" t="s">
        <v>68</v>
      </c>
      <c r="I17" s="20" t="s">
        <v>4</v>
      </c>
      <c r="J17" s="108">
        <f>D182</f>
        <v>0</v>
      </c>
      <c r="K17" s="83" t="str">
        <f>IF(J17&lt;1,"O.K","N.G")</f>
        <v>O.K</v>
      </c>
      <c r="O17" s="698"/>
      <c r="Q17" s="698"/>
    </row>
    <row r="19" spans="2:26" ht="15.95" customHeight="1" x14ac:dyDescent="0.15">
      <c r="B19" s="77" t="s">
        <v>78</v>
      </c>
      <c r="E19" s="49"/>
      <c r="H19" s="77" t="s">
        <v>485</v>
      </c>
      <c r="J19" s="559">
        <v>1</v>
      </c>
      <c r="N19" s="24" t="s">
        <v>474</v>
      </c>
      <c r="Q19" s="20" t="s">
        <v>51</v>
      </c>
    </row>
    <row r="20" spans="2:26" ht="15.95" customHeight="1" thickBot="1" x14ac:dyDescent="0.2">
      <c r="K20" s="81"/>
      <c r="L20" s="81"/>
      <c r="M20" s="81"/>
    </row>
    <row r="21" spans="2:26" ht="15.95" customHeight="1" thickBot="1" x14ac:dyDescent="0.2">
      <c r="B21" s="138"/>
      <c r="C21" s="139"/>
      <c r="D21" s="139"/>
      <c r="E21" s="139"/>
      <c r="F21" s="139"/>
      <c r="G21" s="139"/>
      <c r="H21" s="139"/>
      <c r="I21" s="139"/>
      <c r="J21" s="139"/>
      <c r="K21" s="140"/>
      <c r="N21" s="138" t="s">
        <v>287</v>
      </c>
      <c r="O21" s="139"/>
      <c r="P21" s="139"/>
      <c r="Q21" s="138" t="s">
        <v>288</v>
      </c>
      <c r="R21" s="139"/>
      <c r="S21" s="140"/>
      <c r="U21" s="80" t="s">
        <v>155</v>
      </c>
      <c r="V21" s="24">
        <f>V35*X35</f>
        <v>60</v>
      </c>
      <c r="W21" s="80" t="s">
        <v>156</v>
      </c>
      <c r="X21" s="24">
        <f>X35/2</f>
        <v>15</v>
      </c>
      <c r="Y21" s="80" t="s">
        <v>157</v>
      </c>
      <c r="Z21" s="24">
        <f>V34+X33/2</f>
        <v>30</v>
      </c>
    </row>
    <row r="22" spans="2:26" ht="15.95" customHeight="1" x14ac:dyDescent="0.15">
      <c r="B22" s="91"/>
      <c r="K22" s="110"/>
      <c r="N22" s="84" t="s">
        <v>46</v>
      </c>
      <c r="O22" s="564">
        <v>60</v>
      </c>
      <c r="P22" s="154" t="s">
        <v>468</v>
      </c>
      <c r="Q22" s="84" t="s">
        <v>46</v>
      </c>
      <c r="R22" s="564">
        <v>60</v>
      </c>
      <c r="S22" s="85" t="s">
        <v>468</v>
      </c>
      <c r="U22" s="80" t="s">
        <v>158</v>
      </c>
      <c r="V22" s="24">
        <f>X33*V33</f>
        <v>112</v>
      </c>
      <c r="W22" s="80" t="s">
        <v>159</v>
      </c>
      <c r="X22" s="24">
        <f>X35+V33/2</f>
        <v>31</v>
      </c>
      <c r="Y22" s="80" t="s">
        <v>160</v>
      </c>
      <c r="Z22" s="24">
        <f>V34+X33/2</f>
        <v>30</v>
      </c>
    </row>
    <row r="23" spans="2:26" ht="15.95" customHeight="1" x14ac:dyDescent="0.15">
      <c r="B23" s="91"/>
      <c r="K23" s="110"/>
      <c r="N23" s="71" t="s">
        <v>199</v>
      </c>
      <c r="O23" s="565">
        <v>120</v>
      </c>
      <c r="P23" s="43" t="s">
        <v>468</v>
      </c>
      <c r="Q23" s="71" t="s">
        <v>199</v>
      </c>
      <c r="R23" s="565">
        <v>120</v>
      </c>
      <c r="S23" s="86" t="s">
        <v>468</v>
      </c>
      <c r="U23" s="80" t="s">
        <v>161</v>
      </c>
      <c r="V23" s="24">
        <f>X33*V33</f>
        <v>112</v>
      </c>
      <c r="W23" s="80" t="s">
        <v>162</v>
      </c>
      <c r="X23" s="24">
        <f>X35+(X34-V33)+V33/2</f>
        <v>149</v>
      </c>
      <c r="Y23" s="80" t="s">
        <v>163</v>
      </c>
      <c r="Z23" s="24">
        <f>V34+X33/2</f>
        <v>30</v>
      </c>
    </row>
    <row r="24" spans="2:26" ht="15.95" customHeight="1" x14ac:dyDescent="0.15">
      <c r="B24" s="91"/>
      <c r="K24" s="110"/>
      <c r="N24" s="71" t="s">
        <v>204</v>
      </c>
      <c r="O24" s="565">
        <v>30</v>
      </c>
      <c r="P24" s="43" t="s">
        <v>468</v>
      </c>
      <c r="Q24" s="91"/>
      <c r="R24" s="566"/>
      <c r="S24" s="110"/>
      <c r="U24" s="80" t="s">
        <v>164</v>
      </c>
      <c r="V24" s="24">
        <f>X34*V34</f>
        <v>240</v>
      </c>
      <c r="W24" s="80" t="s">
        <v>165</v>
      </c>
      <c r="X24" s="24">
        <f>X35+X34/2</f>
        <v>90</v>
      </c>
      <c r="Y24" s="80" t="s">
        <v>166</v>
      </c>
      <c r="Z24" s="24">
        <f>V34/2</f>
        <v>1</v>
      </c>
    </row>
    <row r="25" spans="2:26" ht="15.95" customHeight="1" x14ac:dyDescent="0.15">
      <c r="B25" s="91"/>
      <c r="K25" s="110"/>
      <c r="N25" s="71" t="s">
        <v>74</v>
      </c>
      <c r="O25" s="565">
        <v>2</v>
      </c>
      <c r="P25" s="43" t="s">
        <v>468</v>
      </c>
      <c r="Q25" s="71" t="s">
        <v>74</v>
      </c>
      <c r="R25" s="565">
        <v>2</v>
      </c>
      <c r="S25" s="86" t="s">
        <v>468</v>
      </c>
      <c r="U25" s="80" t="s">
        <v>167</v>
      </c>
      <c r="V25" s="24">
        <f>X34*V34</f>
        <v>240</v>
      </c>
      <c r="W25" s="80" t="s">
        <v>168</v>
      </c>
      <c r="X25" s="24">
        <f>X35+X34/2</f>
        <v>90</v>
      </c>
      <c r="Y25" s="80" t="s">
        <v>169</v>
      </c>
      <c r="Z25" s="24">
        <f>V34+X33+V34/2</f>
        <v>59</v>
      </c>
    </row>
    <row r="26" spans="2:26" ht="15.95" customHeight="1" x14ac:dyDescent="0.15">
      <c r="B26" s="91"/>
      <c r="K26" s="110"/>
      <c r="N26" s="71" t="s">
        <v>466</v>
      </c>
      <c r="O26" s="565">
        <v>2</v>
      </c>
      <c r="P26" s="43" t="s">
        <v>468</v>
      </c>
      <c r="Q26" s="71" t="s">
        <v>75</v>
      </c>
      <c r="R26" s="567">
        <v>2</v>
      </c>
      <c r="S26" s="86" t="s">
        <v>468</v>
      </c>
      <c r="U26" s="80"/>
      <c r="V26" s="24"/>
      <c r="W26" s="80"/>
      <c r="X26" s="24"/>
      <c r="Y26" s="80"/>
      <c r="Z26" s="24"/>
    </row>
    <row r="27" spans="2:26" ht="15.95" customHeight="1" thickBot="1" x14ac:dyDescent="0.2">
      <c r="B27" s="91"/>
      <c r="K27" s="110"/>
      <c r="N27" s="71" t="s">
        <v>192</v>
      </c>
      <c r="O27" s="565">
        <v>2</v>
      </c>
      <c r="P27" s="43" t="s">
        <v>468</v>
      </c>
      <c r="Q27" s="91"/>
      <c r="R27" s="566"/>
      <c r="S27" s="110"/>
      <c r="U27" s="80" t="s">
        <v>170</v>
      </c>
      <c r="V27" s="24">
        <f>X21-Z29</f>
        <v>-69.109947643979055</v>
      </c>
      <c r="W27" s="80" t="s">
        <v>171</v>
      </c>
      <c r="X27" s="24">
        <f>Z21-Z30</f>
        <v>0</v>
      </c>
      <c r="Y27" s="80" t="s">
        <v>172</v>
      </c>
      <c r="Z27" s="165">
        <f>V21*X21+V22*X22+V23*X23+V24*X24+V25*X25</f>
        <v>64260</v>
      </c>
    </row>
    <row r="28" spans="2:26" ht="15.95" customHeight="1" x14ac:dyDescent="0.15">
      <c r="B28" s="91"/>
      <c r="K28" s="110"/>
      <c r="N28" s="84" t="s">
        <v>196</v>
      </c>
      <c r="O28" s="151">
        <f>O23+O24</f>
        <v>150</v>
      </c>
      <c r="P28" s="85" t="s">
        <v>458</v>
      </c>
      <c r="Q28" s="91"/>
      <c r="R28" s="566"/>
      <c r="S28" s="110"/>
      <c r="U28" s="80" t="s">
        <v>174</v>
      </c>
      <c r="V28" s="24">
        <f>X22-Z29</f>
        <v>-53.109947643979055</v>
      </c>
      <c r="W28" s="80" t="s">
        <v>175</v>
      </c>
      <c r="X28" s="24">
        <f>Z22-Z30</f>
        <v>0</v>
      </c>
      <c r="Y28" s="80" t="s">
        <v>176</v>
      </c>
      <c r="Z28" s="165">
        <f>V21*Z21+V22*Z22+V23*Z23+V24*Z24+V25*Z25</f>
        <v>22920</v>
      </c>
    </row>
    <row r="29" spans="2:26" ht="15.95" customHeight="1" x14ac:dyDescent="0.15">
      <c r="B29" s="91"/>
      <c r="K29" s="110"/>
      <c r="N29" s="71" t="s">
        <v>77</v>
      </c>
      <c r="O29" s="23">
        <f>O22-2*O26</f>
        <v>56</v>
      </c>
      <c r="P29" s="43" t="s">
        <v>458</v>
      </c>
      <c r="Q29" s="91"/>
      <c r="R29" s="566"/>
      <c r="S29" s="110"/>
      <c r="U29" s="80" t="s">
        <v>177</v>
      </c>
      <c r="V29" s="24">
        <f>X23-Z29</f>
        <v>64.890052356020945</v>
      </c>
      <c r="W29" s="80" t="s">
        <v>178</v>
      </c>
      <c r="X29" s="24">
        <f>Z23-Z30</f>
        <v>0</v>
      </c>
      <c r="Y29" s="80" t="s">
        <v>179</v>
      </c>
      <c r="Z29" s="24">
        <f>Z27/(V21+V22+V23+V24+V25)</f>
        <v>84.109947643979055</v>
      </c>
    </row>
    <row r="30" spans="2:26" ht="15.95" customHeight="1" x14ac:dyDescent="0.15">
      <c r="B30" s="91"/>
      <c r="K30" s="110"/>
      <c r="N30" s="71" t="s">
        <v>193</v>
      </c>
      <c r="O30" s="23">
        <f>Z31</f>
        <v>1671313.4310645724</v>
      </c>
      <c r="P30" s="43" t="s">
        <v>469</v>
      </c>
      <c r="Q30" s="71" t="s">
        <v>193</v>
      </c>
      <c r="R30" s="565">
        <v>2728265</v>
      </c>
      <c r="S30" s="86" t="s">
        <v>469</v>
      </c>
      <c r="U30" s="80" t="s">
        <v>180</v>
      </c>
      <c r="V30" s="24">
        <f>X24-Z29</f>
        <v>5.890052356020945</v>
      </c>
      <c r="W30" s="80" t="s">
        <v>181</v>
      </c>
      <c r="X30" s="24">
        <f>Z24-Z30</f>
        <v>-29</v>
      </c>
      <c r="Y30" s="80" t="s">
        <v>182</v>
      </c>
      <c r="Z30" s="24">
        <f>Z28/(V21+V22+V23+V24+V25)</f>
        <v>30</v>
      </c>
    </row>
    <row r="31" spans="2:26" ht="15.95" customHeight="1" x14ac:dyDescent="0.15">
      <c r="B31" s="91"/>
      <c r="K31" s="110"/>
      <c r="N31" s="71" t="s">
        <v>194</v>
      </c>
      <c r="O31" s="23">
        <f>Z32</f>
        <v>462398.66666666663</v>
      </c>
      <c r="P31" s="43" t="s">
        <v>469</v>
      </c>
      <c r="Q31" s="71" t="s">
        <v>194</v>
      </c>
      <c r="R31" s="565">
        <v>684006</v>
      </c>
      <c r="S31" s="86" t="s">
        <v>469</v>
      </c>
      <c r="U31" s="80" t="s">
        <v>183</v>
      </c>
      <c r="V31" s="24">
        <f>X25-Z29</f>
        <v>5.890052356020945</v>
      </c>
      <c r="W31" s="80" t="s">
        <v>184</v>
      </c>
      <c r="X31" s="24">
        <f>Z25-Z30</f>
        <v>29</v>
      </c>
      <c r="Y31" s="80" t="s">
        <v>185</v>
      </c>
      <c r="Z31" s="165">
        <f>((V35*X35*X35*X35)/12+V21*V27*V27)+((X33*V33*V33*V33)/12+V22*V28*V28)+((X33*V33*V33*V33)/12+V23*V29*V29)+((V34*X34*X34*X34)/12+V24*V30*V30)+((V34*X34*X34*X34)/12+V25*V31*V31)</f>
        <v>1671313.4310645724</v>
      </c>
    </row>
    <row r="32" spans="2:26" ht="15.95" customHeight="1" x14ac:dyDescent="0.15">
      <c r="B32" s="91"/>
      <c r="K32" s="110"/>
      <c r="N32" s="71" t="s">
        <v>890</v>
      </c>
      <c r="O32" s="23">
        <f>Z30</f>
        <v>30</v>
      </c>
      <c r="P32" s="43" t="s">
        <v>458</v>
      </c>
      <c r="Q32" s="71" t="s">
        <v>890</v>
      </c>
      <c r="R32" s="565">
        <v>30</v>
      </c>
      <c r="S32" s="86" t="s">
        <v>468</v>
      </c>
      <c r="U32" s="38"/>
      <c r="V32" s="24"/>
      <c r="W32" s="38"/>
      <c r="X32" s="24"/>
      <c r="Y32" s="80" t="s">
        <v>186</v>
      </c>
      <c r="Z32" s="165">
        <f>((X35*V35*V35*V35)/12+V21*X27*X27)+((V33*X33*X33*X33)/12+V22*X28*X28)+((V33*X33*X33*X33)/12+V23*X29*X29)+((X34*V34*V34*V34)/12+V24*X30*X30)+((X34*V34*V34*V34)/12+V25*X31*X31)</f>
        <v>462398.66666666663</v>
      </c>
    </row>
    <row r="33" spans="1:27" ht="15.95" customHeight="1" x14ac:dyDescent="0.15">
      <c r="B33" s="71" t="s">
        <v>196</v>
      </c>
      <c r="C33" s="20" t="s">
        <v>4</v>
      </c>
      <c r="D33" s="155">
        <f>IF($J$19=1, O28,Q19)</f>
        <v>150</v>
      </c>
      <c r="E33" s="43" t="s">
        <v>468</v>
      </c>
      <c r="F33" s="568">
        <v>100</v>
      </c>
      <c r="G33" s="364" t="s">
        <v>468</v>
      </c>
      <c r="K33" s="110"/>
      <c r="N33" s="71" t="s">
        <v>891</v>
      </c>
      <c r="O33" s="23">
        <f>Z29</f>
        <v>84.109947643979055</v>
      </c>
      <c r="P33" s="43" t="s">
        <v>458</v>
      </c>
      <c r="Q33" s="71" t="s">
        <v>891</v>
      </c>
      <c r="R33" s="565">
        <v>75</v>
      </c>
      <c r="S33" s="86" t="s">
        <v>468</v>
      </c>
      <c r="U33" s="80" t="s">
        <v>462</v>
      </c>
      <c r="V33" s="24">
        <f>O25</f>
        <v>2</v>
      </c>
      <c r="W33" s="80" t="s">
        <v>77</v>
      </c>
      <c r="X33" s="24">
        <f>O29</f>
        <v>56</v>
      </c>
      <c r="Y33" s="38"/>
      <c r="Z33" s="24"/>
    </row>
    <row r="34" spans="1:27" ht="15.95" customHeight="1" x14ac:dyDescent="0.15">
      <c r="B34" s="71" t="s">
        <v>46</v>
      </c>
      <c r="C34" s="20" t="s">
        <v>4</v>
      </c>
      <c r="D34" s="155">
        <f>IF($J$19=1, O22,Q19)</f>
        <v>60</v>
      </c>
      <c r="E34" s="43" t="s">
        <v>468</v>
      </c>
      <c r="F34" s="568">
        <v>50</v>
      </c>
      <c r="G34" s="364" t="s">
        <v>468</v>
      </c>
      <c r="K34" s="110"/>
      <c r="N34" s="71" t="s">
        <v>195</v>
      </c>
      <c r="O34" s="23">
        <f>O30/O33</f>
        <v>19870.579852681814</v>
      </c>
      <c r="P34" s="43" t="s">
        <v>470</v>
      </c>
      <c r="Q34" s="71" t="s">
        <v>195</v>
      </c>
      <c r="R34" s="565">
        <f>R30/R33</f>
        <v>36376.866666666669</v>
      </c>
      <c r="S34" s="86" t="s">
        <v>470</v>
      </c>
      <c r="U34" s="80" t="s">
        <v>461</v>
      </c>
      <c r="V34" s="24">
        <f>O26</f>
        <v>2</v>
      </c>
      <c r="W34" s="80" t="s">
        <v>463</v>
      </c>
      <c r="X34" s="24">
        <f>O23</f>
        <v>120</v>
      </c>
      <c r="Y34" s="38"/>
      <c r="Z34" s="24"/>
    </row>
    <row r="35" spans="1:27" ht="15.95" customHeight="1" thickBot="1" x14ac:dyDescent="0.2">
      <c r="B35" s="71" t="s">
        <v>199</v>
      </c>
      <c r="C35" s="20" t="s">
        <v>4</v>
      </c>
      <c r="D35" s="155">
        <f>IF($J$19=1, O23,Q19)</f>
        <v>120</v>
      </c>
      <c r="E35" s="43" t="s">
        <v>468</v>
      </c>
      <c r="F35" s="160" t="s">
        <v>51</v>
      </c>
      <c r="G35" s="364" t="s">
        <v>468</v>
      </c>
      <c r="K35" s="110"/>
      <c r="N35" s="87" t="s">
        <v>349</v>
      </c>
      <c r="O35" s="152">
        <f>(2*O26*O25*(O22-O26)^2*(O23-O25)^2)/((O22*O26)+(O23*O25)-O26^2-O25^2)</f>
        <v>1064553.0909090908</v>
      </c>
      <c r="P35" s="153" t="s">
        <v>470</v>
      </c>
      <c r="Q35" s="87" t="s">
        <v>304</v>
      </c>
      <c r="R35" s="152">
        <f>(2*R26*R25*(R22-R26)^2*(R23-R25)^2)/((R22*R26)+(R23*R25)-R26^2-R25^2)</f>
        <v>1064553.0909090908</v>
      </c>
      <c r="S35" s="88" t="s">
        <v>471</v>
      </c>
      <c r="U35" s="80" t="s">
        <v>467</v>
      </c>
      <c r="V35" s="24">
        <f>O27</f>
        <v>2</v>
      </c>
      <c r="W35" s="80" t="s">
        <v>464</v>
      </c>
      <c r="X35" s="24">
        <f>O24</f>
        <v>30</v>
      </c>
      <c r="Y35" s="38"/>
      <c r="Z35" s="24"/>
    </row>
    <row r="36" spans="1:27" ht="15.95" customHeight="1" x14ac:dyDescent="0.15">
      <c r="B36" s="71" t="s">
        <v>519</v>
      </c>
      <c r="C36" s="20" t="s">
        <v>4</v>
      </c>
      <c r="D36" s="155">
        <f>IF($J$19=1, O24,Q19)</f>
        <v>30</v>
      </c>
      <c r="E36" s="43" t="s">
        <v>468</v>
      </c>
      <c r="F36" s="160" t="s">
        <v>51</v>
      </c>
      <c r="G36" s="364" t="s">
        <v>468</v>
      </c>
      <c r="H36" s="50"/>
      <c r="K36" s="110"/>
    </row>
    <row r="37" spans="1:27" ht="15.95" customHeight="1" x14ac:dyDescent="0.15">
      <c r="B37" s="71" t="s">
        <v>74</v>
      </c>
      <c r="C37" s="20" t="s">
        <v>4</v>
      </c>
      <c r="D37" s="155">
        <f>IF($J$19=1, O25,Q19)</f>
        <v>2</v>
      </c>
      <c r="E37" s="43" t="s">
        <v>468</v>
      </c>
      <c r="F37" s="568">
        <v>2</v>
      </c>
      <c r="G37" s="364" t="s">
        <v>468</v>
      </c>
      <c r="H37" s="50"/>
      <c r="K37" s="110"/>
      <c r="N37" s="24" t="s">
        <v>205</v>
      </c>
    </row>
    <row r="38" spans="1:27" ht="15.95" customHeight="1" thickBot="1" x14ac:dyDescent="0.2">
      <c r="B38" s="71" t="s">
        <v>466</v>
      </c>
      <c r="C38" s="20" t="s">
        <v>4</v>
      </c>
      <c r="D38" s="155">
        <f>IF($J$19=1, O26,Q19)</f>
        <v>2</v>
      </c>
      <c r="E38" s="43" t="s">
        <v>468</v>
      </c>
      <c r="F38" s="161">
        <f>F37</f>
        <v>2</v>
      </c>
      <c r="G38" s="364" t="s">
        <v>468</v>
      </c>
      <c r="K38" s="110"/>
      <c r="L38" s="81"/>
      <c r="M38" s="81"/>
      <c r="N38" s="24" t="s">
        <v>460</v>
      </c>
      <c r="S38" s="69"/>
      <c r="T38" s="70"/>
    </row>
    <row r="39" spans="1:27" ht="15.95" customHeight="1" x14ac:dyDescent="0.15">
      <c r="B39" s="71" t="s">
        <v>192</v>
      </c>
      <c r="C39" s="20" t="s">
        <v>4</v>
      </c>
      <c r="D39" s="155">
        <f>IF($J$19=1, O27,Q19)</f>
        <v>2</v>
      </c>
      <c r="E39" s="43" t="s">
        <v>468</v>
      </c>
      <c r="F39" s="160" t="s">
        <v>51</v>
      </c>
      <c r="G39" s="364" t="s">
        <v>468</v>
      </c>
      <c r="K39" s="86"/>
      <c r="L39" s="81"/>
      <c r="M39" s="81"/>
      <c r="N39" s="84" t="s">
        <v>193</v>
      </c>
      <c r="O39" s="151">
        <f t="shared" ref="O39:O44" si="0">IF($J$19=1, O30,R30)</f>
        <v>1671313.4310645724</v>
      </c>
      <c r="P39" s="85" t="s">
        <v>469</v>
      </c>
      <c r="Q39" s="72" t="s">
        <v>350</v>
      </c>
      <c r="R39" s="151">
        <f>IF($J$19=1, O29,R22-R26*2)</f>
        <v>56</v>
      </c>
      <c r="S39" s="85" t="s">
        <v>468</v>
      </c>
      <c r="T39" s="44"/>
      <c r="U39" s="44"/>
    </row>
    <row r="40" spans="1:27" ht="15.95" customHeight="1" x14ac:dyDescent="0.15">
      <c r="B40" s="71" t="s">
        <v>361</v>
      </c>
      <c r="C40" s="20" t="s">
        <v>4</v>
      </c>
      <c r="D40" s="167">
        <f t="shared" ref="D40:D45" si="1">O39</f>
        <v>1671313.4310645724</v>
      </c>
      <c r="E40" s="43" t="s">
        <v>469</v>
      </c>
      <c r="F40" s="169">
        <f>(F34*F33^3-(F34-2*F37)*(F33-2*F38)^3)/12</f>
        <v>775178.66666666663</v>
      </c>
      <c r="G40" s="364" t="s">
        <v>469</v>
      </c>
      <c r="H40" s="336" t="s">
        <v>486</v>
      </c>
      <c r="I40" s="20" t="s">
        <v>4</v>
      </c>
      <c r="J40" s="167">
        <f>D40+F40*3</f>
        <v>3996849.4310645722</v>
      </c>
      <c r="K40" s="86" t="s">
        <v>469</v>
      </c>
      <c r="L40" s="81"/>
      <c r="M40" s="81"/>
      <c r="N40" s="71" t="s">
        <v>194</v>
      </c>
      <c r="O40" s="23">
        <f t="shared" si="0"/>
        <v>462398.66666666663</v>
      </c>
      <c r="P40" s="43" t="s">
        <v>469</v>
      </c>
      <c r="Q40" s="73" t="s">
        <v>351</v>
      </c>
      <c r="R40" s="23">
        <f>IF($J$19=1, O23-2*O25,R23-R25*2)</f>
        <v>116</v>
      </c>
      <c r="S40" s="86" t="s">
        <v>468</v>
      </c>
      <c r="U40" s="44"/>
    </row>
    <row r="41" spans="1:27" ht="15.95" customHeight="1" x14ac:dyDescent="0.15">
      <c r="B41" s="71" t="s">
        <v>362</v>
      </c>
      <c r="C41" s="20" t="s">
        <v>4</v>
      </c>
      <c r="D41" s="167">
        <f t="shared" si="1"/>
        <v>462398.66666666663</v>
      </c>
      <c r="E41" s="43" t="s">
        <v>469</v>
      </c>
      <c r="F41" s="169">
        <f>(F33*F34^3-(F33-2*F38)*(F34-2*F37)^3)/12</f>
        <v>262978.66666666669</v>
      </c>
      <c r="G41" s="364" t="s">
        <v>469</v>
      </c>
      <c r="H41" s="336" t="s">
        <v>487</v>
      </c>
      <c r="I41" s="20" t="s">
        <v>4</v>
      </c>
      <c r="J41" s="167">
        <f>D41+F41*3</f>
        <v>1251334.6666666665</v>
      </c>
      <c r="K41" s="86" t="s">
        <v>469</v>
      </c>
      <c r="L41" s="81"/>
      <c r="M41" s="81"/>
      <c r="N41" s="71" t="s">
        <v>890</v>
      </c>
      <c r="O41" s="23">
        <f t="shared" si="0"/>
        <v>30</v>
      </c>
      <c r="P41" s="43" t="s">
        <v>458</v>
      </c>
      <c r="Q41" s="73" t="s">
        <v>352</v>
      </c>
      <c r="R41" s="23">
        <f>IF($J$19=1, O25,R25)</f>
        <v>2</v>
      </c>
      <c r="S41" s="86" t="s">
        <v>468</v>
      </c>
      <c r="T41" s="90"/>
      <c r="U41" s="44"/>
    </row>
    <row r="42" spans="1:27" ht="15.95" customHeight="1" x14ac:dyDescent="0.15">
      <c r="B42" s="71" t="s">
        <v>890</v>
      </c>
      <c r="C42" s="20" t="s">
        <v>4</v>
      </c>
      <c r="D42" s="173">
        <f t="shared" si="1"/>
        <v>30</v>
      </c>
      <c r="E42" s="43" t="s">
        <v>458</v>
      </c>
      <c r="F42" s="178">
        <f>F34/2</f>
        <v>25</v>
      </c>
      <c r="G42" s="364" t="s">
        <v>458</v>
      </c>
      <c r="K42" s="110"/>
      <c r="L42" s="81"/>
      <c r="M42" s="81"/>
      <c r="N42" s="71" t="s">
        <v>891</v>
      </c>
      <c r="O42" s="23">
        <f t="shared" si="0"/>
        <v>84.109947643979055</v>
      </c>
      <c r="P42" s="43" t="s">
        <v>458</v>
      </c>
      <c r="Q42" s="73" t="s">
        <v>353</v>
      </c>
      <c r="R42" s="158">
        <f>IF($J$19=1, O26,R26)</f>
        <v>2</v>
      </c>
      <c r="S42" s="86" t="s">
        <v>468</v>
      </c>
      <c r="T42" s="90"/>
      <c r="U42" s="44"/>
    </row>
    <row r="43" spans="1:27" ht="15.95" customHeight="1" x14ac:dyDescent="0.15">
      <c r="B43" s="71" t="s">
        <v>891</v>
      </c>
      <c r="C43" s="20" t="s">
        <v>4</v>
      </c>
      <c r="D43" s="173">
        <f t="shared" si="1"/>
        <v>84.109947643979055</v>
      </c>
      <c r="E43" s="43" t="s">
        <v>458</v>
      </c>
      <c r="F43" s="178">
        <f>F33/2</f>
        <v>50</v>
      </c>
      <c r="G43" s="364" t="s">
        <v>458</v>
      </c>
      <c r="H43" s="336" t="s">
        <v>407</v>
      </c>
      <c r="I43" s="20" t="s">
        <v>9</v>
      </c>
      <c r="J43" s="108">
        <f>D40/J40</f>
        <v>0.41815771644402761</v>
      </c>
      <c r="K43" s="110"/>
      <c r="L43" s="81"/>
      <c r="M43" s="81"/>
      <c r="N43" s="71" t="s">
        <v>195</v>
      </c>
      <c r="O43" s="23">
        <f t="shared" si="0"/>
        <v>19870.579852681814</v>
      </c>
      <c r="P43" s="43" t="s">
        <v>470</v>
      </c>
      <c r="Q43" s="91"/>
      <c r="R43" s="81"/>
      <c r="S43" s="92"/>
      <c r="T43" s="90"/>
      <c r="U43" s="44"/>
    </row>
    <row r="44" spans="1:27" ht="15.95" customHeight="1" thickBot="1" x14ac:dyDescent="0.2">
      <c r="B44" s="71" t="s">
        <v>360</v>
      </c>
      <c r="C44" s="20" t="s">
        <v>4</v>
      </c>
      <c r="D44" s="167">
        <f t="shared" si="1"/>
        <v>19870.579852681814</v>
      </c>
      <c r="E44" s="43" t="s">
        <v>470</v>
      </c>
      <c r="F44" s="170">
        <f>F40/F43</f>
        <v>15503.573333333332</v>
      </c>
      <c r="G44" s="166" t="s">
        <v>470</v>
      </c>
      <c r="H44" s="363" t="s">
        <v>408</v>
      </c>
      <c r="I44" s="33" t="s">
        <v>9</v>
      </c>
      <c r="J44" s="569">
        <f>1-J43</f>
        <v>0.58184228355597245</v>
      </c>
      <c r="K44" s="141"/>
      <c r="L44" s="81"/>
      <c r="M44" s="81"/>
      <c r="N44" s="87" t="s">
        <v>349</v>
      </c>
      <c r="O44" s="152">
        <f t="shared" si="0"/>
        <v>1064553.0909090908</v>
      </c>
      <c r="P44" s="153" t="s">
        <v>470</v>
      </c>
      <c r="Q44" s="94"/>
      <c r="R44" s="93"/>
      <c r="S44" s="95"/>
      <c r="T44" s="90"/>
      <c r="U44" s="44"/>
    </row>
    <row r="45" spans="1:27" s="38" customFormat="1" ht="15.95" customHeight="1" thickBot="1" x14ac:dyDescent="0.2">
      <c r="A45" s="24"/>
      <c r="B45" s="87" t="s">
        <v>349</v>
      </c>
      <c r="C45" s="33" t="s">
        <v>4</v>
      </c>
      <c r="D45" s="168">
        <f t="shared" si="1"/>
        <v>1064553.0909090908</v>
      </c>
      <c r="E45" s="88" t="s">
        <v>470</v>
      </c>
      <c r="F45" s="456"/>
      <c r="G45" s="457"/>
      <c r="H45" s="457"/>
      <c r="I45" s="457"/>
      <c r="J45" s="457"/>
      <c r="K45" s="457"/>
      <c r="L45" s="81"/>
      <c r="M45" s="81"/>
      <c r="N45" s="24"/>
      <c r="O45" s="24"/>
      <c r="P45" s="24"/>
      <c r="Q45" s="24"/>
      <c r="R45" s="24"/>
      <c r="S45" s="24"/>
      <c r="T45" s="24"/>
      <c r="U45" s="24"/>
      <c r="W45" s="24"/>
      <c r="Y45" s="24"/>
      <c r="AA45" s="24"/>
    </row>
    <row r="46" spans="1:27" s="38" customFormat="1" ht="15.95" customHeight="1" x14ac:dyDescent="0.15">
      <c r="A46" s="24"/>
      <c r="B46" s="708" t="s">
        <v>1000</v>
      </c>
      <c r="C46" s="708"/>
      <c r="D46" s="708"/>
      <c r="E46" s="708"/>
      <c r="F46" s="708"/>
      <c r="G46" s="708"/>
      <c r="H46" s="708"/>
      <c r="I46" s="708"/>
      <c r="J46" s="708"/>
      <c r="K46" s="708"/>
      <c r="L46" s="81"/>
      <c r="M46" s="81"/>
      <c r="N46" s="24"/>
      <c r="O46" s="24"/>
      <c r="P46" s="24"/>
      <c r="Q46" s="24"/>
      <c r="R46" s="24"/>
      <c r="S46" s="24"/>
      <c r="T46" s="24"/>
      <c r="U46" s="24"/>
      <c r="W46" s="24"/>
      <c r="Y46" s="24"/>
      <c r="AA46" s="24"/>
    </row>
    <row r="47" spans="1:27" s="12" customFormat="1" ht="15.95" hidden="1" customHeight="1" x14ac:dyDescent="0.15">
      <c r="A47" s="129"/>
      <c r="B47" s="129" t="s">
        <v>384</v>
      </c>
    </row>
    <row r="48" spans="1:27" s="12" customFormat="1" ht="15.95" hidden="1" customHeight="1" x14ac:dyDescent="0.15">
      <c r="M48" s="336"/>
      <c r="N48" s="20"/>
      <c r="O48" s="362"/>
      <c r="P48" s="709"/>
    </row>
    <row r="49" spans="1:16" s="12" customFormat="1" ht="15.95" hidden="1" customHeight="1" x14ac:dyDescent="0.15">
      <c r="B49" s="130"/>
      <c r="M49" s="336"/>
      <c r="N49" s="20"/>
      <c r="O49" s="362"/>
      <c r="P49" s="710"/>
    </row>
    <row r="50" spans="1:16" s="12" customFormat="1" ht="15.95" hidden="1" customHeight="1" x14ac:dyDescent="0.15">
      <c r="A50" s="131"/>
    </row>
    <row r="51" spans="1:16" s="12" customFormat="1" ht="15.95" hidden="1" customHeight="1" x14ac:dyDescent="0.15">
      <c r="A51" s="131"/>
    </row>
    <row r="52" spans="1:16" s="12" customFormat="1" ht="15.95" hidden="1" customHeight="1" x14ac:dyDescent="0.15">
      <c r="A52" s="131"/>
    </row>
    <row r="53" spans="1:16" s="12" customFormat="1" ht="15.95" hidden="1" customHeight="1" x14ac:dyDescent="0.15">
      <c r="A53" s="131"/>
    </row>
    <row r="54" spans="1:16" s="12" customFormat="1" ht="15.95" hidden="1" customHeight="1" x14ac:dyDescent="0.15">
      <c r="A54" s="131"/>
      <c r="G54" s="36"/>
    </row>
    <row r="55" spans="1:16" s="12" customFormat="1" ht="15.95" hidden="1" customHeight="1" x14ac:dyDescent="0.15">
      <c r="A55" s="131"/>
      <c r="G55" s="98"/>
    </row>
    <row r="56" spans="1:16" s="12" customFormat="1" ht="15.95" hidden="1" customHeight="1" x14ac:dyDescent="0.15">
      <c r="A56" s="131"/>
      <c r="G56" s="36"/>
    </row>
    <row r="57" spans="1:16" s="12" customFormat="1" ht="15.95" hidden="1" customHeight="1" x14ac:dyDescent="0.15">
      <c r="A57" s="131"/>
      <c r="G57" s="36"/>
    </row>
    <row r="58" spans="1:16" s="12" customFormat="1" ht="15.95" hidden="1" customHeight="1" x14ac:dyDescent="0.15">
      <c r="A58" s="131"/>
      <c r="G58" s="36"/>
      <c r="I58" s="131"/>
    </row>
    <row r="59" spans="1:16" s="12" customFormat="1" ht="15.95" hidden="1" customHeight="1" x14ac:dyDescent="0.15">
      <c r="B59" s="24" t="s">
        <v>91</v>
      </c>
      <c r="G59" s="36"/>
    </row>
    <row r="60" spans="1:16" s="12" customFormat="1" ht="15.95" hidden="1" customHeight="1" x14ac:dyDescent="0.15">
      <c r="G60" s="78"/>
    </row>
    <row r="61" spans="1:16" s="12" customFormat="1" ht="15.95" hidden="1" customHeight="1" x14ac:dyDescent="0.15">
      <c r="B61" s="36" t="s">
        <v>85</v>
      </c>
      <c r="C61" s="20" t="s">
        <v>4</v>
      </c>
      <c r="D61" s="36" t="s">
        <v>86</v>
      </c>
      <c r="E61" s="20" t="s">
        <v>4</v>
      </c>
      <c r="F61" s="36" t="s">
        <v>388</v>
      </c>
      <c r="G61" s="20" t="s">
        <v>9</v>
      </c>
      <c r="H61" s="36" t="s">
        <v>101</v>
      </c>
      <c r="I61" s="36"/>
    </row>
    <row r="62" spans="1:16" s="12" customFormat="1" ht="15.95" hidden="1" customHeight="1" x14ac:dyDescent="0.15">
      <c r="B62" s="36" t="s">
        <v>385</v>
      </c>
      <c r="C62" s="20" t="s">
        <v>4</v>
      </c>
      <c r="D62" s="36" t="s">
        <v>389</v>
      </c>
      <c r="E62" s="20" t="s">
        <v>4</v>
      </c>
      <c r="F62" s="36" t="s">
        <v>388</v>
      </c>
      <c r="G62" s="20" t="s">
        <v>9</v>
      </c>
      <c r="H62" s="36" t="s">
        <v>386</v>
      </c>
      <c r="I62" s="36"/>
    </row>
    <row r="63" spans="1:16" s="12" customFormat="1" ht="15.95" hidden="1" customHeight="1" x14ac:dyDescent="0.15">
      <c r="B63" s="36" t="s">
        <v>65</v>
      </c>
      <c r="C63" s="20" t="s">
        <v>4</v>
      </c>
      <c r="D63" s="36" t="s">
        <v>387</v>
      </c>
      <c r="E63" s="36"/>
      <c r="G63" s="20" t="s">
        <v>9</v>
      </c>
      <c r="H63" s="36" t="s">
        <v>102</v>
      </c>
      <c r="I63" s="36"/>
    </row>
    <row r="64" spans="1:16" s="12" customFormat="1" ht="15.95" hidden="1" customHeight="1" x14ac:dyDescent="0.15">
      <c r="B64" s="78" t="s">
        <v>120</v>
      </c>
      <c r="C64" s="20" t="s">
        <v>4</v>
      </c>
      <c r="D64" s="36" t="s">
        <v>390</v>
      </c>
      <c r="E64" s="36"/>
      <c r="G64" s="20" t="s">
        <v>9</v>
      </c>
      <c r="H64" s="36" t="s">
        <v>103</v>
      </c>
      <c r="I64" s="36"/>
    </row>
    <row r="65" spans="1:16" s="12" customFormat="1" ht="15.95" hidden="1" customHeight="1" x14ac:dyDescent="0.15">
      <c r="H65" s="20"/>
      <c r="I65" s="36"/>
    </row>
    <row r="66" spans="1:16" s="12" customFormat="1" ht="15.95" hidden="1" customHeight="1" x14ac:dyDescent="0.15"/>
    <row r="67" spans="1:16" s="12" customFormat="1" ht="15.95" hidden="1" customHeight="1" x14ac:dyDescent="0.15">
      <c r="A67" s="131"/>
      <c r="B67" s="24" t="s">
        <v>92</v>
      </c>
    </row>
    <row r="68" spans="1:16" s="12" customFormat="1" ht="15.95" hidden="1" customHeight="1" x14ac:dyDescent="0.15"/>
    <row r="69" spans="1:16" s="12" customFormat="1" ht="15.95" hidden="1" customHeight="1" x14ac:dyDescent="0.15">
      <c r="B69" s="136" t="s">
        <v>2</v>
      </c>
      <c r="C69" s="27" t="s">
        <v>4</v>
      </c>
      <c r="D69" s="167">
        <f>D9</f>
        <v>5000</v>
      </c>
      <c r="E69" s="12" t="s">
        <v>499</v>
      </c>
      <c r="G69" s="20" t="s">
        <v>9</v>
      </c>
      <c r="H69" s="36" t="s">
        <v>404</v>
      </c>
      <c r="J69" s="36"/>
      <c r="K69" s="36"/>
    </row>
    <row r="70" spans="1:16" s="12" customFormat="1" ht="15.95" hidden="1" customHeight="1" x14ac:dyDescent="0.15">
      <c r="B70" s="137" t="s">
        <v>3</v>
      </c>
      <c r="C70" s="27" t="s">
        <v>4</v>
      </c>
      <c r="D70" s="167">
        <f>(D7+D8)/2</f>
        <v>1350</v>
      </c>
      <c r="E70" s="12" t="s">
        <v>499</v>
      </c>
      <c r="G70" s="20" t="s">
        <v>9</v>
      </c>
      <c r="H70" s="36" t="s">
        <v>391</v>
      </c>
      <c r="J70" s="20"/>
      <c r="K70" s="36"/>
    </row>
    <row r="71" spans="1:16" s="12" customFormat="1" ht="15.95" hidden="1" customHeight="1" x14ac:dyDescent="0.15">
      <c r="B71" s="137" t="s">
        <v>11</v>
      </c>
      <c r="C71" s="27" t="s">
        <v>4</v>
      </c>
      <c r="D71" s="24">
        <f>ABS(D5*D70/10^3)</f>
        <v>0</v>
      </c>
      <c r="E71" s="24" t="s">
        <v>512</v>
      </c>
      <c r="F71" s="130"/>
      <c r="G71" s="20" t="s">
        <v>9</v>
      </c>
      <c r="H71" s="36" t="s">
        <v>382</v>
      </c>
      <c r="J71" s="20"/>
      <c r="K71" s="36"/>
    </row>
    <row r="72" spans="1:16" s="12" customFormat="1" ht="15.95" hidden="1" customHeight="1" x14ac:dyDescent="0.15">
      <c r="B72" s="137" t="s">
        <v>5</v>
      </c>
      <c r="C72" s="27" t="s">
        <v>4</v>
      </c>
      <c r="D72" s="167">
        <f>D6</f>
        <v>69637.021649999995</v>
      </c>
      <c r="E72" s="43" t="s">
        <v>457</v>
      </c>
      <c r="G72" s="20" t="s">
        <v>9</v>
      </c>
      <c r="H72" s="36" t="s">
        <v>95</v>
      </c>
      <c r="J72" s="20"/>
      <c r="K72" s="36"/>
    </row>
    <row r="73" spans="1:16" s="12" customFormat="1" ht="15.95" hidden="1" customHeight="1" x14ac:dyDescent="0.15">
      <c r="B73" s="22" t="s">
        <v>405</v>
      </c>
      <c r="C73" s="27" t="s">
        <v>4</v>
      </c>
      <c r="D73" s="167">
        <f>J40</f>
        <v>3996849.4310645722</v>
      </c>
      <c r="E73" s="12" t="s">
        <v>494</v>
      </c>
      <c r="G73" s="20" t="s">
        <v>9</v>
      </c>
      <c r="H73" s="36" t="s">
        <v>406</v>
      </c>
      <c r="J73" s="20"/>
      <c r="K73" s="36"/>
    </row>
    <row r="74" spans="1:16" s="12" customFormat="1" ht="15.95" hidden="1" customHeight="1" x14ac:dyDescent="0.15">
      <c r="J74" s="20"/>
      <c r="K74" s="36"/>
    </row>
    <row r="75" spans="1:16" s="12" customFormat="1" ht="15.95" hidden="1" customHeight="1" x14ac:dyDescent="0.15">
      <c r="A75" s="25"/>
      <c r="B75" s="24" t="s">
        <v>104</v>
      </c>
      <c r="J75" s="20"/>
      <c r="K75" s="36"/>
    </row>
    <row r="76" spans="1:16" s="12" customFormat="1" ht="15.95" hidden="1" customHeight="1" x14ac:dyDescent="0.15">
      <c r="J76" s="20"/>
      <c r="K76" s="36"/>
      <c r="L76" s="133"/>
      <c r="M76" s="131"/>
    </row>
    <row r="77" spans="1:16" s="12" customFormat="1" ht="15.95" hidden="1" customHeight="1" x14ac:dyDescent="0.15">
      <c r="A77" s="12" t="s">
        <v>1</v>
      </c>
      <c r="B77" s="36" t="s">
        <v>85</v>
      </c>
      <c r="C77" s="27" t="s">
        <v>4</v>
      </c>
      <c r="D77" s="36" t="s">
        <v>388</v>
      </c>
      <c r="G77" s="36"/>
      <c r="K77" s="36"/>
    </row>
    <row r="78" spans="1:16" s="12" customFormat="1" ht="15.95" hidden="1" customHeight="1" x14ac:dyDescent="0.15">
      <c r="B78" s="130"/>
      <c r="C78" s="27" t="s">
        <v>4</v>
      </c>
      <c r="D78" s="172">
        <f>D71*D69/2</f>
        <v>0</v>
      </c>
      <c r="E78" s="24" t="s">
        <v>495</v>
      </c>
      <c r="G78" s="36"/>
      <c r="K78" s="36"/>
    </row>
    <row r="79" spans="1:16" s="12" customFormat="1" ht="15.95" hidden="1" customHeight="1" x14ac:dyDescent="0.15">
      <c r="B79" s="131"/>
      <c r="C79" s="134"/>
      <c r="D79" s="132"/>
      <c r="G79" s="36"/>
      <c r="K79" s="36"/>
      <c r="O79" s="172"/>
      <c r="P79" s="43"/>
    </row>
    <row r="80" spans="1:16" s="12" customFormat="1" ht="15.95" hidden="1" customHeight="1" x14ac:dyDescent="0.15">
      <c r="B80" s="36" t="s">
        <v>385</v>
      </c>
      <c r="C80" s="27" t="s">
        <v>4</v>
      </c>
      <c r="D80" s="36" t="s">
        <v>388</v>
      </c>
      <c r="G80" s="78"/>
      <c r="K80" s="36"/>
      <c r="O80" s="333"/>
      <c r="P80" s="709"/>
    </row>
    <row r="81" spans="1:26" s="12" customFormat="1" ht="15.95" hidden="1" customHeight="1" x14ac:dyDescent="0.15">
      <c r="B81" s="135"/>
      <c r="C81" s="27" t="s">
        <v>4</v>
      </c>
      <c r="D81" s="172">
        <f>D71*D69/2</f>
        <v>0</v>
      </c>
      <c r="E81" s="24" t="s">
        <v>495</v>
      </c>
      <c r="K81" s="36"/>
      <c r="O81" s="333"/>
      <c r="P81" s="710"/>
    </row>
    <row r="82" spans="1:26" s="12" customFormat="1" ht="15.95" hidden="1" customHeight="1" x14ac:dyDescent="0.15">
      <c r="B82" s="135"/>
      <c r="C82" s="134"/>
      <c r="D82" s="30"/>
      <c r="K82" s="36"/>
    </row>
    <row r="83" spans="1:26" s="12" customFormat="1" ht="15.95" hidden="1" customHeight="1" x14ac:dyDescent="0.15">
      <c r="B83" s="36" t="s">
        <v>65</v>
      </c>
      <c r="C83" s="27" t="s">
        <v>4</v>
      </c>
      <c r="D83" s="36" t="s">
        <v>1044</v>
      </c>
      <c r="F83" s="36"/>
      <c r="K83" s="36"/>
      <c r="O83" s="172"/>
      <c r="P83" s="43"/>
    </row>
    <row r="84" spans="1:26" s="12" customFormat="1" ht="15.95" hidden="1" customHeight="1" x14ac:dyDescent="0.15">
      <c r="C84" s="27" t="s">
        <v>4</v>
      </c>
      <c r="D84" s="172">
        <f>0.65*D71*D69^2/8</f>
        <v>0</v>
      </c>
      <c r="E84" s="43" t="s">
        <v>497</v>
      </c>
      <c r="F84" s="36"/>
      <c r="K84" s="36"/>
      <c r="O84" s="334"/>
    </row>
    <row r="85" spans="1:26" s="12" customFormat="1" ht="15.95" hidden="1" customHeight="1" x14ac:dyDescent="0.15">
      <c r="B85" s="135"/>
      <c r="C85" s="134"/>
      <c r="D85" s="30"/>
      <c r="K85" s="36"/>
    </row>
    <row r="86" spans="1:26" s="12" customFormat="1" ht="15.95" hidden="1" customHeight="1" x14ac:dyDescent="0.15">
      <c r="B86" s="78" t="s">
        <v>120</v>
      </c>
      <c r="C86" s="27" t="s">
        <v>4</v>
      </c>
      <c r="D86" s="36" t="s">
        <v>1043</v>
      </c>
      <c r="K86" s="36"/>
      <c r="O86" s="332"/>
      <c r="P86" s="43"/>
    </row>
    <row r="87" spans="1:26" s="12" customFormat="1" ht="15.95" hidden="1" customHeight="1" x14ac:dyDescent="0.15">
      <c r="B87" s="135"/>
      <c r="C87" s="27" t="s">
        <v>4</v>
      </c>
      <c r="D87" s="79">
        <f>0.65*(5*D71*D69^4)/(384*D72*D73)</f>
        <v>0</v>
      </c>
      <c r="E87" s="24" t="s">
        <v>499</v>
      </c>
      <c r="K87" s="36"/>
      <c r="O87" s="334"/>
    </row>
    <row r="88" spans="1:26" ht="15.95" hidden="1" customHeight="1" x14ac:dyDescent="0.15">
      <c r="B88" s="127"/>
      <c r="C88" s="20"/>
      <c r="D88" s="127"/>
      <c r="H88" s="43"/>
      <c r="K88" s="36"/>
      <c r="V88" s="24"/>
      <c r="X88" s="24"/>
      <c r="Z88" s="24"/>
    </row>
    <row r="89" spans="1:26" ht="15.95" hidden="1" customHeight="1" x14ac:dyDescent="0.15">
      <c r="C89" s="20"/>
      <c r="D89" s="30"/>
      <c r="E89" s="43"/>
      <c r="K89" s="36"/>
      <c r="V89" s="24"/>
      <c r="X89" s="24"/>
      <c r="Z89" s="24"/>
    </row>
    <row r="90" spans="1:26" ht="15.95" hidden="1" customHeight="1" x14ac:dyDescent="0.15">
      <c r="B90" s="128"/>
      <c r="C90" s="20"/>
      <c r="D90" s="127"/>
      <c r="H90" s="43"/>
      <c r="J90" s="43"/>
      <c r="K90" s="36"/>
      <c r="V90" s="24"/>
      <c r="X90" s="24"/>
      <c r="Z90" s="24"/>
    </row>
    <row r="91" spans="1:26" ht="15.95" hidden="1" customHeight="1" x14ac:dyDescent="0.15">
      <c r="B91" s="68"/>
      <c r="C91" s="20"/>
      <c r="D91" s="34"/>
      <c r="E91" s="43"/>
      <c r="K91" s="36"/>
      <c r="V91" s="24"/>
      <c r="X91" s="24"/>
      <c r="Z91" s="24"/>
    </row>
    <row r="92" spans="1:26" ht="15.95" hidden="1" customHeight="1" x14ac:dyDescent="0.15">
      <c r="B92" s="68"/>
      <c r="C92" s="20"/>
      <c r="K92" s="36"/>
      <c r="V92" s="24"/>
      <c r="X92" s="24"/>
      <c r="Z92" s="24"/>
    </row>
    <row r="93" spans="1:26" ht="15.95" hidden="1" customHeight="1" x14ac:dyDescent="0.15">
      <c r="A93" s="43"/>
      <c r="B93" s="77" t="s">
        <v>144</v>
      </c>
      <c r="C93" s="43"/>
      <c r="D93" s="43"/>
      <c r="E93" s="43"/>
      <c r="F93" s="43"/>
      <c r="G93" s="43"/>
      <c r="H93" s="43"/>
      <c r="I93" s="43"/>
      <c r="J93" s="43"/>
      <c r="K93" s="43"/>
      <c r="L93" s="43"/>
      <c r="N93" s="45" t="s">
        <v>355</v>
      </c>
      <c r="O93" s="361">
        <f>G6</f>
        <v>5</v>
      </c>
      <c r="P93" s="46"/>
    </row>
    <row r="94" spans="1:26" s="47" customFormat="1" ht="15.95" hidden="1" customHeight="1" x14ac:dyDescent="0.15">
      <c r="J94" s="48"/>
      <c r="K94" s="37"/>
      <c r="L94" s="48"/>
      <c r="M94" s="48"/>
      <c r="N94" s="37"/>
      <c r="O94" s="37"/>
      <c r="P94" s="37"/>
      <c r="V94" s="52"/>
      <c r="X94" s="52"/>
      <c r="Z94" s="52"/>
    </row>
    <row r="95" spans="1:26" s="47" customFormat="1" ht="15.95" hidden="1" customHeight="1" x14ac:dyDescent="0.15">
      <c r="A95" s="24"/>
      <c r="B95" s="49" t="s">
        <v>289</v>
      </c>
      <c r="C95" s="49"/>
      <c r="G95" s="50" t="s">
        <v>290</v>
      </c>
      <c r="H95" s="101"/>
      <c r="I95" s="43"/>
      <c r="J95" s="102"/>
      <c r="K95" s="51"/>
      <c r="L95" s="24"/>
      <c r="M95" s="24"/>
      <c r="N95" s="52" t="s">
        <v>291</v>
      </c>
      <c r="O95" s="360">
        <v>14</v>
      </c>
      <c r="P95" s="24"/>
      <c r="S95" s="24"/>
      <c r="V95" s="52"/>
      <c r="X95" s="52"/>
      <c r="Z95" s="52"/>
    </row>
    <row r="96" spans="1:26" s="47" customFormat="1" ht="15.95" hidden="1" customHeight="1" x14ac:dyDescent="0.15">
      <c r="A96" s="24"/>
      <c r="B96" s="49"/>
      <c r="C96" s="24"/>
      <c r="D96" s="24"/>
      <c r="E96" s="24"/>
      <c r="G96" s="37"/>
      <c r="I96" s="24"/>
      <c r="J96" s="49"/>
      <c r="K96" s="38"/>
      <c r="L96" s="24"/>
      <c r="M96" s="38" t="s">
        <v>292</v>
      </c>
      <c r="N96" s="103">
        <v>5</v>
      </c>
      <c r="O96" s="103">
        <v>6</v>
      </c>
      <c r="Q96" s="702" t="s">
        <v>293</v>
      </c>
      <c r="R96" s="703"/>
      <c r="S96" s="704" t="s">
        <v>328</v>
      </c>
      <c r="T96" s="705"/>
      <c r="U96" s="706"/>
      <c r="V96" s="52"/>
      <c r="X96" s="52"/>
      <c r="Z96" s="52"/>
    </row>
    <row r="97" spans="1:26" s="47" customFormat="1" ht="15.95" hidden="1" customHeight="1" x14ac:dyDescent="0.15">
      <c r="A97" s="24"/>
      <c r="B97" s="36" t="s">
        <v>344</v>
      </c>
      <c r="C97" s="20" t="s">
        <v>4</v>
      </c>
      <c r="D97" s="176">
        <f>D10</f>
        <v>2600</v>
      </c>
      <c r="E97" s="29" t="s">
        <v>479</v>
      </c>
      <c r="F97" s="24"/>
      <c r="G97" s="36" t="s">
        <v>294</v>
      </c>
      <c r="H97" s="20" t="s">
        <v>295</v>
      </c>
      <c r="I97" s="155">
        <f>2*D97*D99/(SQRT(D98*D100))</f>
        <v>147.27259356576931</v>
      </c>
      <c r="K97" s="38"/>
      <c r="L97" s="24"/>
      <c r="M97" s="24"/>
      <c r="N97" s="53">
        <v>0</v>
      </c>
      <c r="O97" s="53">
        <v>0</v>
      </c>
      <c r="P97" s="37" t="s">
        <v>296</v>
      </c>
      <c r="Q97" s="54" t="s">
        <v>297</v>
      </c>
      <c r="R97" s="55" t="s">
        <v>298</v>
      </c>
      <c r="S97" s="55">
        <v>1</v>
      </c>
      <c r="T97" s="56">
        <f>IF(O93=5, N97, O97)</f>
        <v>0</v>
      </c>
      <c r="U97" s="55" t="str">
        <f>P97</f>
        <v>S  ≤  S₁</v>
      </c>
      <c r="V97" s="52"/>
      <c r="X97" s="52"/>
      <c r="Z97" s="52"/>
    </row>
    <row r="98" spans="1:26" s="47" customFormat="1" ht="15.95" hidden="1" customHeight="1" x14ac:dyDescent="0.15">
      <c r="A98" s="24"/>
      <c r="B98" s="36" t="s">
        <v>299</v>
      </c>
      <c r="C98" s="20" t="s">
        <v>4</v>
      </c>
      <c r="D98" s="176">
        <f>D41</f>
        <v>462398.66666666663</v>
      </c>
      <c r="E98" s="29" t="s">
        <v>475</v>
      </c>
      <c r="F98" s="24"/>
      <c r="G98" s="57" t="s">
        <v>300</v>
      </c>
      <c r="H98" s="38"/>
      <c r="I98" s="38"/>
      <c r="J98" s="52"/>
      <c r="K98" s="38"/>
      <c r="L98" s="24"/>
      <c r="M98" s="24"/>
      <c r="N98" s="58">
        <v>0</v>
      </c>
      <c r="O98" s="58">
        <v>0</v>
      </c>
      <c r="P98" s="37" t="s">
        <v>301</v>
      </c>
      <c r="Q98" s="59">
        <f>IF(O93=5, N98,O98)</f>
        <v>0</v>
      </c>
      <c r="R98" s="60">
        <f>IF(O93=5,N100,O100)</f>
        <v>3823</v>
      </c>
      <c r="S98" s="62">
        <v>2</v>
      </c>
      <c r="T98" s="61">
        <f>IF(O93=5, N99, O99)</f>
        <v>9.6505085589175899</v>
      </c>
      <c r="U98" s="62" t="str">
        <f>P99</f>
        <v>S₁&lt;  S  &lt; S₂</v>
      </c>
      <c r="V98" s="52"/>
      <c r="X98" s="52"/>
      <c r="Z98" s="52"/>
    </row>
    <row r="99" spans="1:26" s="47" customFormat="1" ht="15.95" hidden="1" customHeight="1" x14ac:dyDescent="0.15">
      <c r="B99" s="36" t="s">
        <v>134</v>
      </c>
      <c r="C99" s="20" t="s">
        <v>4</v>
      </c>
      <c r="D99" s="176">
        <f>D44</f>
        <v>19870.579852681814</v>
      </c>
      <c r="E99" s="29" t="s">
        <v>471</v>
      </c>
      <c r="G99" s="36" t="str">
        <f>U101</f>
        <v>S₁&lt;  S  &lt; S₂</v>
      </c>
      <c r="J99" s="24"/>
      <c r="K99" s="38"/>
      <c r="L99" s="24"/>
      <c r="M99" s="24"/>
      <c r="N99" s="58">
        <f>10.5-0.07*SQRT(I97)</f>
        <v>9.6505085589175899</v>
      </c>
      <c r="O99" s="58">
        <f>16.7-0.14*SQRT(I97)</f>
        <v>15.001017117835179</v>
      </c>
      <c r="P99" s="37" t="s">
        <v>302</v>
      </c>
      <c r="Q99" s="104" t="s">
        <v>303</v>
      </c>
      <c r="S99" s="60">
        <v>3</v>
      </c>
      <c r="T99" s="63">
        <f>IF(O93=5, N101, O101)</f>
        <v>160.24026893680735</v>
      </c>
      <c r="U99" s="60" t="str">
        <f>P101</f>
        <v>S  ≥  S₂</v>
      </c>
      <c r="V99" s="52"/>
      <c r="X99" s="52"/>
      <c r="Z99" s="52"/>
    </row>
    <row r="100" spans="1:26" s="47" customFormat="1" ht="15.95" hidden="1" customHeight="1" thickBot="1" x14ac:dyDescent="0.2">
      <c r="A100" s="24"/>
      <c r="B100" s="36" t="s">
        <v>304</v>
      </c>
      <c r="C100" s="20" t="s">
        <v>4</v>
      </c>
      <c r="D100" s="176">
        <f>D45</f>
        <v>1064553.0909090908</v>
      </c>
      <c r="E100" s="29" t="s">
        <v>475</v>
      </c>
      <c r="F100" s="38"/>
      <c r="H100" s="38"/>
      <c r="I100" s="24"/>
      <c r="J100" s="24"/>
      <c r="K100" s="24"/>
      <c r="L100" s="24"/>
      <c r="M100" s="24"/>
      <c r="N100" s="58">
        <v>3823</v>
      </c>
      <c r="O100" s="58">
        <v>2400</v>
      </c>
      <c r="P100" s="37" t="s">
        <v>306</v>
      </c>
      <c r="Q100" s="55" t="s">
        <v>307</v>
      </c>
      <c r="V100" s="52"/>
      <c r="X100" s="52"/>
      <c r="Z100" s="52"/>
    </row>
    <row r="101" spans="1:26" s="47" customFormat="1" ht="15.95" hidden="1" customHeight="1" thickBot="1" x14ac:dyDescent="0.2">
      <c r="A101" s="24"/>
      <c r="B101" s="36" t="s">
        <v>308</v>
      </c>
      <c r="C101" s="20" t="s">
        <v>4</v>
      </c>
      <c r="D101" s="24">
        <f>T101</f>
        <v>9.6505085589175899</v>
      </c>
      <c r="E101" s="29" t="s">
        <v>187</v>
      </c>
      <c r="F101" s="38"/>
      <c r="K101" s="24"/>
      <c r="L101" s="24"/>
      <c r="M101" s="24"/>
      <c r="N101" s="64">
        <f>23599/I97</f>
        <v>160.24026893680735</v>
      </c>
      <c r="O101" s="64">
        <f>23599/I97</f>
        <v>160.24026893680735</v>
      </c>
      <c r="P101" s="37" t="s">
        <v>309</v>
      </c>
      <c r="Q101" s="60">
        <f>I97</f>
        <v>147.27259356576931</v>
      </c>
      <c r="S101" s="105">
        <f>IF(Q101&lt;=Q98,1,IF(AND(Q101&gt;Q98,Q101&lt;R98),2,3))</f>
        <v>2</v>
      </c>
      <c r="T101" s="65">
        <f>VLOOKUP(S101, S97:T99, 2, FALSE)</f>
        <v>9.6505085589175899</v>
      </c>
      <c r="U101" s="66" t="str">
        <f>VLOOKUP(S101,S97:U99, 3, FALSE)</f>
        <v>S₁&lt;  S  &lt; S₂</v>
      </c>
      <c r="V101" s="52"/>
      <c r="X101" s="52"/>
      <c r="Z101" s="52"/>
    </row>
    <row r="102" spans="1:26" s="47" customFormat="1" ht="15.95" hidden="1" customHeight="1" x14ac:dyDescent="0.15">
      <c r="A102" s="24"/>
      <c r="C102" s="20" t="s">
        <v>4</v>
      </c>
      <c r="D102" s="29">
        <f>D101*6.894757</f>
        <v>66.537911440156961</v>
      </c>
      <c r="E102" s="29" t="s">
        <v>457</v>
      </c>
      <c r="F102" s="38"/>
      <c r="G102" s="38"/>
      <c r="H102" s="38"/>
      <c r="I102" s="24"/>
      <c r="J102" s="24"/>
      <c r="K102" s="24"/>
      <c r="L102" s="24"/>
      <c r="M102" s="24"/>
      <c r="V102" s="52"/>
      <c r="X102" s="52"/>
      <c r="Z102" s="52"/>
    </row>
    <row r="103" spans="1:26" s="47" customFormat="1" ht="15.95" hidden="1" customHeight="1" x14ac:dyDescent="0.15">
      <c r="A103" s="24"/>
      <c r="C103" s="20"/>
      <c r="D103" s="29"/>
      <c r="E103" s="29"/>
      <c r="F103" s="38"/>
      <c r="G103" s="38"/>
      <c r="H103" s="38"/>
      <c r="I103" s="24"/>
      <c r="J103" s="24"/>
      <c r="K103" s="24"/>
      <c r="L103" s="24"/>
      <c r="M103" s="24"/>
      <c r="V103" s="52"/>
      <c r="X103" s="52"/>
      <c r="Z103" s="52"/>
    </row>
    <row r="104" spans="1:26" s="47" customFormat="1" ht="15.95" hidden="1" customHeight="1" x14ac:dyDescent="0.15">
      <c r="A104" s="24"/>
      <c r="B104" s="49" t="s">
        <v>310</v>
      </c>
      <c r="C104" s="49"/>
      <c r="D104" s="156"/>
      <c r="E104" s="156"/>
      <c r="G104" s="50" t="s">
        <v>311</v>
      </c>
      <c r="H104" s="101"/>
      <c r="I104" s="38"/>
      <c r="J104" s="102"/>
      <c r="K104" s="24"/>
      <c r="L104" s="24"/>
      <c r="M104" s="24"/>
      <c r="N104" s="52" t="s">
        <v>291</v>
      </c>
      <c r="O104" s="360">
        <v>16</v>
      </c>
      <c r="P104" s="24"/>
      <c r="S104" s="24"/>
      <c r="V104" s="52"/>
      <c r="X104" s="52"/>
      <c r="Z104" s="52"/>
    </row>
    <row r="105" spans="1:26" s="47" customFormat="1" ht="15.95" hidden="1" customHeight="1" x14ac:dyDescent="0.15">
      <c r="A105" s="24"/>
      <c r="B105" s="49"/>
      <c r="C105" s="49"/>
      <c r="D105" s="156"/>
      <c r="E105" s="156"/>
      <c r="F105" s="49"/>
      <c r="G105" s="49"/>
      <c r="H105" s="49"/>
      <c r="I105" s="24"/>
      <c r="J105" s="49"/>
      <c r="K105" s="24"/>
      <c r="L105" s="24"/>
      <c r="M105" s="38" t="s">
        <v>292</v>
      </c>
      <c r="N105" s="103">
        <v>5</v>
      </c>
      <c r="O105" s="103">
        <v>6</v>
      </c>
      <c r="Q105" s="702" t="s">
        <v>293</v>
      </c>
      <c r="R105" s="703"/>
      <c r="S105" s="704" t="s">
        <v>328</v>
      </c>
      <c r="T105" s="705"/>
      <c r="U105" s="706"/>
      <c r="V105" s="52"/>
      <c r="X105" s="52"/>
      <c r="Z105" s="52"/>
    </row>
    <row r="106" spans="1:26" s="47" customFormat="1" ht="15.95" hidden="1" customHeight="1" x14ac:dyDescent="0.15">
      <c r="A106" s="24"/>
      <c r="B106" s="36" t="s">
        <v>77</v>
      </c>
      <c r="C106" s="20" t="s">
        <v>4</v>
      </c>
      <c r="D106" s="23">
        <f>R39</f>
        <v>56</v>
      </c>
      <c r="E106" s="29" t="s">
        <v>479</v>
      </c>
      <c r="F106" s="24"/>
      <c r="G106" s="36" t="str">
        <f>U110</f>
        <v>S₁&lt;  S  &lt; S₂</v>
      </c>
      <c r="K106" s="24"/>
      <c r="L106" s="24"/>
      <c r="M106" s="24"/>
      <c r="N106" s="53">
        <v>9.6999999999999993</v>
      </c>
      <c r="O106" s="53">
        <v>15.2</v>
      </c>
      <c r="P106" s="37" t="s">
        <v>296</v>
      </c>
      <c r="Q106" s="54" t="s">
        <v>297</v>
      </c>
      <c r="R106" s="55" t="s">
        <v>298</v>
      </c>
      <c r="S106" s="55">
        <v>1</v>
      </c>
      <c r="T106" s="56">
        <f>IF(O93=5, N106, O106)</f>
        <v>9.6999999999999993</v>
      </c>
      <c r="U106" s="55" t="str">
        <f>P106</f>
        <v>S  ≤  S₁</v>
      </c>
      <c r="V106" s="52"/>
      <c r="X106" s="52"/>
      <c r="Z106" s="52"/>
    </row>
    <row r="107" spans="1:26" s="47" customFormat="1" ht="15.95" hidden="1" customHeight="1" x14ac:dyDescent="0.15">
      <c r="A107" s="24"/>
      <c r="B107" s="36" t="s">
        <v>333</v>
      </c>
      <c r="C107" s="20" t="s">
        <v>4</v>
      </c>
      <c r="D107" s="23">
        <f>R41</f>
        <v>2</v>
      </c>
      <c r="E107" s="29" t="s">
        <v>479</v>
      </c>
      <c r="G107" s="24"/>
      <c r="H107" s="24"/>
      <c r="I107" s="24"/>
      <c r="J107" s="24"/>
      <c r="K107" s="24"/>
      <c r="L107" s="24"/>
      <c r="M107" s="24"/>
      <c r="N107" s="58">
        <v>25.6</v>
      </c>
      <c r="O107" s="58">
        <v>22.8</v>
      </c>
      <c r="P107" s="37" t="s">
        <v>301</v>
      </c>
      <c r="Q107" s="59">
        <f>IF(O93=5, N107,O107)</f>
        <v>25.6</v>
      </c>
      <c r="R107" s="60">
        <f>IF(O93=5,N109,O109)</f>
        <v>50</v>
      </c>
      <c r="S107" s="62">
        <v>2</v>
      </c>
      <c r="T107" s="61">
        <f>IF(O93=5, N108, O108)</f>
        <v>9.4760000000000009</v>
      </c>
      <c r="U107" s="62" t="str">
        <f>P108</f>
        <v>S₁&lt;  S  &lt; S₂</v>
      </c>
      <c r="V107" s="52"/>
      <c r="X107" s="52"/>
      <c r="Z107" s="52"/>
    </row>
    <row r="108" spans="1:26" s="47" customFormat="1" ht="15.95" hidden="1" customHeight="1" x14ac:dyDescent="0.15">
      <c r="A108" s="24"/>
      <c r="B108" s="36" t="s">
        <v>356</v>
      </c>
      <c r="C108" s="20" t="s">
        <v>4</v>
      </c>
      <c r="D108" s="23">
        <f>D106/D107</f>
        <v>28</v>
      </c>
      <c r="E108" s="29"/>
      <c r="F108" s="24"/>
      <c r="H108" s="24"/>
      <c r="I108" s="24"/>
      <c r="J108" s="24"/>
      <c r="K108" s="24"/>
      <c r="L108" s="24"/>
      <c r="M108" s="24"/>
      <c r="N108" s="58">
        <f>11.8-0.083*D108</f>
        <v>9.4760000000000009</v>
      </c>
      <c r="O108" s="58">
        <f>19-0.17*(D108)</f>
        <v>14.239999999999998</v>
      </c>
      <c r="P108" s="37" t="s">
        <v>302</v>
      </c>
      <c r="Q108" s="104" t="s">
        <v>303</v>
      </c>
      <c r="S108" s="60">
        <v>3</v>
      </c>
      <c r="T108" s="63">
        <f>IF(O93=5, N110, O110)</f>
        <v>13.642857142857142</v>
      </c>
      <c r="U108" s="60" t="str">
        <f>P110</f>
        <v>S  ≥  S₂</v>
      </c>
      <c r="V108" s="52"/>
      <c r="X108" s="52"/>
      <c r="Z108" s="52"/>
    </row>
    <row r="109" spans="1:26" s="47" customFormat="1" ht="15.95" hidden="1" customHeight="1" thickBot="1" x14ac:dyDescent="0.2">
      <c r="A109" s="24"/>
      <c r="B109" s="36" t="s">
        <v>319</v>
      </c>
      <c r="C109" s="20" t="s">
        <v>4</v>
      </c>
      <c r="D109" s="24">
        <f>T110</f>
        <v>9.4760000000000009</v>
      </c>
      <c r="E109" s="29" t="s">
        <v>187</v>
      </c>
      <c r="F109" s="24"/>
      <c r="G109" s="24"/>
      <c r="H109" s="24"/>
      <c r="I109" s="24"/>
      <c r="J109" s="24"/>
      <c r="K109" s="24"/>
      <c r="L109" s="24"/>
      <c r="M109" s="24"/>
      <c r="N109" s="58">
        <v>50</v>
      </c>
      <c r="O109" s="58">
        <v>39</v>
      </c>
      <c r="P109" s="37" t="s">
        <v>306</v>
      </c>
      <c r="Q109" s="55" t="s">
        <v>307</v>
      </c>
      <c r="V109" s="52"/>
      <c r="X109" s="52"/>
      <c r="Z109" s="52"/>
    </row>
    <row r="110" spans="1:26" s="47" customFormat="1" ht="15.95" hidden="1" customHeight="1" thickBot="1" x14ac:dyDescent="0.2">
      <c r="A110" s="24"/>
      <c r="B110" s="43"/>
      <c r="C110" s="20" t="s">
        <v>4</v>
      </c>
      <c r="D110" s="29">
        <f>D109*6.894757</f>
        <v>65.334717332000011</v>
      </c>
      <c r="E110" s="29" t="s">
        <v>457</v>
      </c>
      <c r="F110" s="24"/>
      <c r="G110" s="24"/>
      <c r="H110" s="24"/>
      <c r="I110" s="24"/>
      <c r="J110" s="24"/>
      <c r="K110" s="24"/>
      <c r="L110" s="24"/>
      <c r="M110" s="24"/>
      <c r="N110" s="64">
        <f>382/D108</f>
        <v>13.642857142857142</v>
      </c>
      <c r="O110" s="64">
        <f>484/D108</f>
        <v>17.285714285714285</v>
      </c>
      <c r="P110" s="37" t="s">
        <v>309</v>
      </c>
      <c r="Q110" s="60">
        <f>D108</f>
        <v>28</v>
      </c>
      <c r="S110" s="105">
        <f>IF(Q110&lt;=Q107,1,IF(AND(Q110&gt;Q107,Q110&lt;R107),2,3))</f>
        <v>2</v>
      </c>
      <c r="T110" s="65">
        <f>VLOOKUP(S110, S106:T108, 2, FALSE)</f>
        <v>9.4760000000000009</v>
      </c>
      <c r="U110" s="66" t="str">
        <f>VLOOKUP(S110,S106:U108, 3, FALSE)</f>
        <v>S₁&lt;  S  &lt; S₂</v>
      </c>
      <c r="V110" s="52"/>
      <c r="X110" s="52"/>
      <c r="Z110" s="52"/>
    </row>
    <row r="111" spans="1:26" s="47" customFormat="1" ht="15.95" hidden="1" customHeight="1" x14ac:dyDescent="0.15">
      <c r="A111" s="24"/>
      <c r="C111" s="20"/>
      <c r="D111" s="29"/>
      <c r="E111" s="29"/>
      <c r="F111" s="38"/>
      <c r="G111" s="38"/>
      <c r="H111" s="38"/>
      <c r="I111" s="24"/>
      <c r="J111" s="24"/>
      <c r="K111" s="24"/>
      <c r="L111" s="24"/>
      <c r="M111" s="24"/>
      <c r="V111" s="52"/>
      <c r="X111" s="52"/>
      <c r="Z111" s="52"/>
    </row>
    <row r="112" spans="1:26" s="47" customFormat="1" ht="15.95" hidden="1" customHeight="1" x14ac:dyDescent="0.15">
      <c r="A112" s="24"/>
      <c r="B112" s="49" t="s">
        <v>310</v>
      </c>
      <c r="C112" s="49"/>
      <c r="D112" s="156"/>
      <c r="E112" s="156"/>
      <c r="F112" s="49"/>
      <c r="G112" s="50" t="s">
        <v>324</v>
      </c>
      <c r="H112" s="101"/>
      <c r="I112" s="24"/>
      <c r="J112" s="49"/>
      <c r="K112" s="24"/>
      <c r="L112" s="24"/>
      <c r="M112" s="24"/>
      <c r="N112" s="52" t="s">
        <v>291</v>
      </c>
      <c r="O112" s="360">
        <v>18</v>
      </c>
      <c r="P112" s="24"/>
      <c r="S112" s="24"/>
      <c r="V112" s="52"/>
      <c r="X112" s="52"/>
      <c r="Z112" s="52"/>
    </row>
    <row r="113" spans="1:26" s="47" customFormat="1" ht="15.95" hidden="1" customHeight="1" x14ac:dyDescent="0.15">
      <c r="A113" s="24"/>
      <c r="B113" s="49"/>
      <c r="C113" s="49"/>
      <c r="D113" s="156"/>
      <c r="E113" s="156"/>
      <c r="F113" s="49"/>
      <c r="G113" s="49"/>
      <c r="H113" s="49"/>
      <c r="I113" s="24"/>
      <c r="J113" s="49"/>
      <c r="K113" s="24"/>
      <c r="L113" s="24"/>
      <c r="M113" s="38" t="s">
        <v>292</v>
      </c>
      <c r="N113" s="103">
        <v>5</v>
      </c>
      <c r="O113" s="103">
        <v>6</v>
      </c>
      <c r="Q113" s="702" t="s">
        <v>293</v>
      </c>
      <c r="R113" s="703"/>
      <c r="S113" s="704" t="s">
        <v>328</v>
      </c>
      <c r="T113" s="705"/>
      <c r="U113" s="706"/>
      <c r="V113" s="52"/>
      <c r="X113" s="52"/>
      <c r="Z113" s="52"/>
    </row>
    <row r="114" spans="1:26" s="47" customFormat="1" ht="15.95" hidden="1" customHeight="1" x14ac:dyDescent="0.15">
      <c r="A114" s="24"/>
      <c r="B114" s="36" t="s">
        <v>76</v>
      </c>
      <c r="C114" s="20" t="s">
        <v>4</v>
      </c>
      <c r="D114" s="23">
        <f>R40</f>
        <v>116</v>
      </c>
      <c r="E114" s="29" t="s">
        <v>479</v>
      </c>
      <c r="F114" s="24"/>
      <c r="G114" s="36" t="str">
        <f>U118</f>
        <v>S  ≤  S₁</v>
      </c>
      <c r="K114" s="24"/>
      <c r="L114" s="24"/>
      <c r="M114" s="24"/>
      <c r="N114" s="53">
        <v>12.6</v>
      </c>
      <c r="O114" s="53">
        <v>19.7</v>
      </c>
      <c r="P114" s="37" t="s">
        <v>296</v>
      </c>
      <c r="Q114" s="54" t="s">
        <v>297</v>
      </c>
      <c r="R114" s="55" t="s">
        <v>298</v>
      </c>
      <c r="S114" s="55">
        <v>1</v>
      </c>
      <c r="T114" s="56">
        <f>IF(O93=5, N114, O114)</f>
        <v>12.6</v>
      </c>
      <c r="U114" s="55" t="str">
        <f>P114</f>
        <v>S  ≤  S₁</v>
      </c>
      <c r="V114" s="52"/>
      <c r="X114" s="52"/>
      <c r="Z114" s="52"/>
    </row>
    <row r="115" spans="1:26" s="47" customFormat="1" ht="15.95" hidden="1" customHeight="1" x14ac:dyDescent="0.15">
      <c r="A115" s="24"/>
      <c r="B115" s="36" t="s">
        <v>333</v>
      </c>
      <c r="C115" s="20" t="s">
        <v>4</v>
      </c>
      <c r="D115" s="23">
        <f>R42</f>
        <v>2</v>
      </c>
      <c r="E115" s="29" t="s">
        <v>479</v>
      </c>
      <c r="F115" s="24"/>
      <c r="H115" s="24"/>
      <c r="I115" s="24"/>
      <c r="J115" s="24"/>
      <c r="K115" s="24"/>
      <c r="L115" s="24"/>
      <c r="M115" s="24"/>
      <c r="N115" s="58">
        <v>61</v>
      </c>
      <c r="O115" s="58">
        <v>54.9</v>
      </c>
      <c r="P115" s="37" t="s">
        <v>301</v>
      </c>
      <c r="Q115" s="59">
        <f>IF(O93=5, N115,O115)</f>
        <v>61</v>
      </c>
      <c r="R115" s="60">
        <f>IF(O93=5,N117,O117)</f>
        <v>115</v>
      </c>
      <c r="S115" s="62">
        <v>2</v>
      </c>
      <c r="T115" s="61">
        <f>IF(O93=5, N116, O116)</f>
        <v>12.808000000000002</v>
      </c>
      <c r="U115" s="62" t="str">
        <f>P116</f>
        <v>S₁&lt;  S  &lt; S₂</v>
      </c>
      <c r="V115" s="52"/>
      <c r="X115" s="52"/>
      <c r="Z115" s="52"/>
    </row>
    <row r="116" spans="1:26" s="47" customFormat="1" ht="15.95" hidden="1" customHeight="1" x14ac:dyDescent="0.15">
      <c r="A116" s="24"/>
      <c r="B116" s="36" t="s">
        <v>357</v>
      </c>
      <c r="C116" s="20" t="s">
        <v>4</v>
      </c>
      <c r="D116" s="23">
        <f>D114/D115</f>
        <v>58</v>
      </c>
      <c r="E116" s="29"/>
      <c r="F116" s="24"/>
      <c r="H116" s="24"/>
      <c r="I116" s="24"/>
      <c r="J116" s="24"/>
      <c r="K116" s="24"/>
      <c r="L116" s="24"/>
      <c r="M116" s="24"/>
      <c r="N116" s="58">
        <f>17.1-0.074*D116</f>
        <v>12.808000000000002</v>
      </c>
      <c r="O116" s="58">
        <f>27.9-0.15*(D116)</f>
        <v>19.2</v>
      </c>
      <c r="P116" s="37" t="s">
        <v>302</v>
      </c>
      <c r="Q116" s="104" t="s">
        <v>303</v>
      </c>
      <c r="S116" s="60">
        <v>3</v>
      </c>
      <c r="T116" s="63">
        <f>IF(O93=5, N118, O118)</f>
        <v>17</v>
      </c>
      <c r="U116" s="60" t="str">
        <f>P118</f>
        <v>S  ≥  S₂</v>
      </c>
      <c r="V116" s="52"/>
      <c r="X116" s="52"/>
      <c r="Z116" s="52"/>
    </row>
    <row r="117" spans="1:26" s="47" customFormat="1" ht="15.95" hidden="1" customHeight="1" thickBot="1" x14ac:dyDescent="0.2">
      <c r="A117" s="24"/>
      <c r="B117" s="36" t="s">
        <v>335</v>
      </c>
      <c r="C117" s="20" t="s">
        <v>4</v>
      </c>
      <c r="D117" s="24">
        <f>T118</f>
        <v>12.6</v>
      </c>
      <c r="E117" s="29" t="s">
        <v>187</v>
      </c>
      <c r="F117" s="24"/>
      <c r="G117" s="24"/>
      <c r="H117" s="24"/>
      <c r="I117" s="24"/>
      <c r="J117" s="24"/>
      <c r="K117" s="24"/>
      <c r="L117" s="24"/>
      <c r="M117" s="24"/>
      <c r="N117" s="58">
        <v>115</v>
      </c>
      <c r="O117" s="58">
        <v>93</v>
      </c>
      <c r="P117" s="37" t="s">
        <v>306</v>
      </c>
      <c r="Q117" s="55" t="s">
        <v>307</v>
      </c>
      <c r="V117" s="52"/>
      <c r="X117" s="52"/>
      <c r="Z117" s="52"/>
    </row>
    <row r="118" spans="1:26" s="47" customFormat="1" ht="15.95" hidden="1" customHeight="1" thickBot="1" x14ac:dyDescent="0.2">
      <c r="A118" s="24"/>
      <c r="B118" s="38"/>
      <c r="C118" s="20" t="s">
        <v>4</v>
      </c>
      <c r="D118" s="29">
        <f>D117*6.894757</f>
        <v>86.873938199999998</v>
      </c>
      <c r="E118" s="29" t="s">
        <v>457</v>
      </c>
      <c r="F118" s="24"/>
      <c r="G118" s="24"/>
      <c r="H118" s="24"/>
      <c r="I118" s="24"/>
      <c r="J118" s="24"/>
      <c r="K118" s="24"/>
      <c r="L118" s="24"/>
      <c r="M118" s="24"/>
      <c r="N118" s="64">
        <f>986/D116</f>
        <v>17</v>
      </c>
      <c r="O118" s="64">
        <f>1298/D116</f>
        <v>22.379310344827587</v>
      </c>
      <c r="P118" s="37" t="s">
        <v>309</v>
      </c>
      <c r="Q118" s="60">
        <f>D116</f>
        <v>58</v>
      </c>
      <c r="S118" s="105">
        <f>IF(Q118&lt;=Q115,1,IF(AND(Q118&gt;Q115,Q118&lt;=R115),2,3))</f>
        <v>1</v>
      </c>
      <c r="T118" s="65">
        <f>VLOOKUP(S118, S114:T116, 2, FALSE)</f>
        <v>12.6</v>
      </c>
      <c r="U118" s="66" t="str">
        <f>VLOOKUP(S118,S114:U116, 3, FALSE)</f>
        <v>S  ≤  S₁</v>
      </c>
      <c r="V118" s="52"/>
      <c r="X118" s="52"/>
      <c r="Z118" s="52"/>
    </row>
    <row r="119" spans="1:26" s="47" customFormat="1" ht="15.95" hidden="1" customHeight="1" x14ac:dyDescent="0.15">
      <c r="A119" s="24"/>
      <c r="B119" s="24"/>
      <c r="C119" s="24"/>
      <c r="D119" s="29"/>
      <c r="E119" s="29"/>
      <c r="F119" s="24"/>
      <c r="G119" s="24"/>
      <c r="H119" s="24"/>
      <c r="I119" s="24"/>
      <c r="J119" s="24"/>
      <c r="K119" s="24"/>
      <c r="L119" s="24"/>
      <c r="M119" s="24"/>
      <c r="N119" s="37"/>
      <c r="V119" s="52"/>
      <c r="X119" s="52"/>
      <c r="Z119" s="52"/>
    </row>
    <row r="120" spans="1:26" s="47" customFormat="1" ht="15.95" hidden="1" customHeight="1" x14ac:dyDescent="0.15">
      <c r="A120" s="24"/>
      <c r="B120" s="35" t="s">
        <v>336</v>
      </c>
      <c r="C120" s="24"/>
      <c r="D120" s="29"/>
      <c r="E120" s="19" t="s">
        <v>337</v>
      </c>
      <c r="F120" s="24" t="s">
        <v>338</v>
      </c>
      <c r="G120" s="24"/>
      <c r="H120" s="24"/>
      <c r="I120" s="24"/>
      <c r="J120" s="24"/>
      <c r="K120" s="24"/>
      <c r="L120" s="24"/>
      <c r="M120" s="24"/>
      <c r="N120" s="37"/>
      <c r="V120" s="52"/>
      <c r="X120" s="52"/>
      <c r="Z120" s="52"/>
    </row>
    <row r="121" spans="1:26" s="47" customFormat="1" ht="15.95" hidden="1" customHeight="1" x14ac:dyDescent="0.15">
      <c r="A121" s="24"/>
      <c r="B121" s="35"/>
      <c r="C121" s="24"/>
      <c r="D121" s="29"/>
      <c r="E121" s="29"/>
      <c r="F121" s="24"/>
      <c r="G121" s="24"/>
      <c r="H121" s="24"/>
      <c r="I121" s="24"/>
      <c r="J121" s="24"/>
      <c r="K121" s="24"/>
      <c r="L121" s="24"/>
      <c r="M121" s="24"/>
      <c r="N121" s="37"/>
      <c r="V121" s="52"/>
      <c r="X121" s="52"/>
      <c r="Z121" s="52"/>
    </row>
    <row r="122" spans="1:26" s="47" customFormat="1" ht="15.95" hidden="1" customHeight="1" x14ac:dyDescent="0.15">
      <c r="A122" s="24"/>
      <c r="B122" s="36" t="s">
        <v>135</v>
      </c>
      <c r="C122" s="20" t="s">
        <v>4</v>
      </c>
      <c r="D122" s="695" t="s">
        <v>1045</v>
      </c>
      <c r="E122" s="695"/>
      <c r="F122" s="24"/>
      <c r="G122" s="24"/>
      <c r="H122" s="24"/>
      <c r="I122" s="24"/>
      <c r="J122" s="24"/>
      <c r="K122" s="24"/>
      <c r="L122" s="24"/>
      <c r="M122" s="24"/>
      <c r="N122" s="37"/>
      <c r="V122" s="52"/>
      <c r="X122" s="52"/>
      <c r="Z122" s="52"/>
    </row>
    <row r="123" spans="1:26" s="47" customFormat="1" ht="15.95" hidden="1" customHeight="1" x14ac:dyDescent="0.15">
      <c r="A123" s="24"/>
      <c r="B123" s="38"/>
      <c r="C123" s="20" t="s">
        <v>4</v>
      </c>
      <c r="D123" s="23">
        <f>(D14*J43)/D44</f>
        <v>0</v>
      </c>
      <c r="E123" s="29" t="s">
        <v>457</v>
      </c>
      <c r="F123" s="24"/>
      <c r="G123" s="24"/>
      <c r="H123" s="24"/>
      <c r="I123" s="24"/>
      <c r="J123" s="24"/>
      <c r="K123" s="24"/>
      <c r="L123" s="24"/>
      <c r="M123" s="24"/>
      <c r="N123" s="37"/>
      <c r="O123" s="37"/>
      <c r="V123" s="52"/>
      <c r="X123" s="52"/>
      <c r="Z123" s="52"/>
    </row>
    <row r="124" spans="1:26" s="47" customFormat="1" ht="15.95" hidden="1" customHeight="1" x14ac:dyDescent="0.15">
      <c r="A124" s="24"/>
      <c r="B124" s="36" t="s">
        <v>139</v>
      </c>
      <c r="C124" s="20" t="s">
        <v>4</v>
      </c>
      <c r="D124" s="22" t="s">
        <v>341</v>
      </c>
      <c r="E124" s="157"/>
      <c r="F124" s="36"/>
      <c r="H124" s="24"/>
      <c r="I124" s="24"/>
      <c r="J124" s="24"/>
      <c r="K124" s="24"/>
      <c r="L124" s="24"/>
      <c r="M124" s="24"/>
      <c r="N124" s="37"/>
      <c r="O124" s="37"/>
      <c r="V124" s="52"/>
      <c r="X124" s="52"/>
      <c r="Z124" s="52"/>
    </row>
    <row r="125" spans="1:26" s="47" customFormat="1" ht="15.95" hidden="1" customHeight="1" x14ac:dyDescent="0.15">
      <c r="A125" s="24"/>
      <c r="B125" s="43"/>
      <c r="C125" s="20" t="s">
        <v>4</v>
      </c>
      <c r="D125" s="67">
        <f>MIN(D102,D110,D118)</f>
        <v>65.334717332000011</v>
      </c>
      <c r="E125" s="29" t="s">
        <v>457</v>
      </c>
      <c r="F125" s="24"/>
      <c r="G125" s="38"/>
      <c r="H125" s="43"/>
      <c r="I125" s="38"/>
      <c r="J125" s="24"/>
      <c r="K125" s="24"/>
      <c r="L125" s="24"/>
      <c r="M125" s="24"/>
      <c r="N125" s="37"/>
      <c r="O125" s="37"/>
      <c r="V125" s="52"/>
      <c r="X125" s="52"/>
      <c r="Z125" s="52"/>
    </row>
    <row r="126" spans="1:26" s="47" customFormat="1" ht="15.95" hidden="1" customHeight="1" x14ac:dyDescent="0.15">
      <c r="A126" s="24"/>
      <c r="C126" s="20"/>
      <c r="F126" s="24"/>
      <c r="G126" s="24"/>
      <c r="H126" s="24"/>
      <c r="I126" s="24"/>
      <c r="J126" s="24"/>
      <c r="K126" s="24"/>
      <c r="L126" s="24"/>
      <c r="M126" s="24"/>
      <c r="N126" s="37"/>
      <c r="O126" s="37"/>
      <c r="V126" s="52"/>
      <c r="X126" s="52"/>
      <c r="Z126" s="52"/>
    </row>
    <row r="127" spans="1:26" ht="15.95" hidden="1" customHeight="1" x14ac:dyDescent="0.15">
      <c r="N127" s="37"/>
      <c r="O127" s="37"/>
    </row>
    <row r="128" spans="1:26" ht="15.95" hidden="1" customHeight="1" x14ac:dyDescent="0.15">
      <c r="B128" s="35" t="s">
        <v>142</v>
      </c>
      <c r="N128" s="37"/>
      <c r="O128" s="37"/>
    </row>
    <row r="129" spans="1:26" ht="15.95" hidden="1" customHeight="1" x14ac:dyDescent="0.15">
      <c r="N129" s="37"/>
      <c r="O129" s="37"/>
    </row>
    <row r="130" spans="1:26" ht="15.95" hidden="1" customHeight="1" x14ac:dyDescent="0.15">
      <c r="B130" s="36" t="s">
        <v>358</v>
      </c>
      <c r="C130" s="20" t="s">
        <v>4</v>
      </c>
      <c r="D130" s="38">
        <f>D123/D125</f>
        <v>0</v>
      </c>
      <c r="E130" s="39" t="str">
        <f>IF(D130&gt;F130,"&gt;","&lt;")</f>
        <v>&lt;</v>
      </c>
      <c r="F130" s="19">
        <v>1</v>
      </c>
      <c r="G130" s="107" t="str">
        <f>IF(D130&lt;F130,"O.K.","N.G.")</f>
        <v>O.K.</v>
      </c>
      <c r="N130" s="37"/>
      <c r="O130" s="37"/>
    </row>
    <row r="131" spans="1:26" ht="15.95" hidden="1" customHeight="1" x14ac:dyDescent="0.15">
      <c r="B131" s="68"/>
      <c r="D131" s="43"/>
      <c r="N131" s="20"/>
    </row>
    <row r="132" spans="1:26" ht="15.95" hidden="1" customHeight="1" x14ac:dyDescent="0.15">
      <c r="A132" s="43"/>
      <c r="B132" s="43"/>
      <c r="C132" s="43"/>
      <c r="D132" s="43"/>
      <c r="E132" s="43"/>
      <c r="F132" s="49"/>
      <c r="G132" s="43"/>
      <c r="H132" s="43"/>
      <c r="I132" s="43"/>
      <c r="J132" s="43"/>
      <c r="K132" s="43"/>
      <c r="L132" s="43"/>
      <c r="M132" s="43"/>
      <c r="N132" s="20"/>
    </row>
    <row r="133" spans="1:26" ht="15.95" hidden="1" customHeight="1" x14ac:dyDescent="0.15">
      <c r="A133" s="43"/>
      <c r="B133" s="43"/>
      <c r="C133" s="43"/>
      <c r="D133" s="43"/>
      <c r="E133" s="43"/>
      <c r="F133" s="43"/>
      <c r="G133" s="43"/>
      <c r="H133" s="43"/>
      <c r="I133" s="43"/>
      <c r="J133" s="43"/>
      <c r="K133" s="43"/>
      <c r="L133" s="43"/>
      <c r="M133" s="43"/>
      <c r="N133" s="20"/>
    </row>
    <row r="134" spans="1:26" ht="15.95" hidden="1" customHeight="1" x14ac:dyDescent="0.15">
      <c r="A134" s="43"/>
      <c r="B134" s="43"/>
      <c r="C134" s="43"/>
      <c r="D134" s="43"/>
      <c r="E134" s="43"/>
      <c r="F134" s="43"/>
      <c r="G134" s="43"/>
      <c r="H134" s="43"/>
      <c r="I134" s="43"/>
      <c r="J134" s="43"/>
      <c r="K134" s="43"/>
      <c r="L134" s="43"/>
      <c r="M134" s="43"/>
      <c r="N134" s="20"/>
    </row>
    <row r="135" spans="1:26" ht="15.95" hidden="1" customHeight="1" x14ac:dyDescent="0.15">
      <c r="B135" s="49"/>
      <c r="D135" s="43"/>
    </row>
    <row r="136" spans="1:26" ht="15.95" hidden="1" customHeight="1" x14ac:dyDescent="0.15">
      <c r="B136" s="49"/>
      <c r="D136" s="43"/>
    </row>
    <row r="137" spans="1:26" ht="15.95" hidden="1" customHeight="1" x14ac:dyDescent="0.15">
      <c r="B137" s="49"/>
      <c r="D137" s="43"/>
    </row>
    <row r="138" spans="1:26" ht="15.95" hidden="1" customHeight="1" x14ac:dyDescent="0.15">
      <c r="B138" s="49"/>
      <c r="D138" s="43"/>
    </row>
    <row r="139" spans="1:26" ht="15.95" hidden="1" customHeight="1" x14ac:dyDescent="0.15">
      <c r="B139" s="77" t="s">
        <v>144</v>
      </c>
      <c r="V139" s="24"/>
      <c r="X139" s="24"/>
      <c r="Z139" s="24"/>
    </row>
    <row r="140" spans="1:26" ht="15.95" hidden="1" customHeight="1" x14ac:dyDescent="0.15">
      <c r="B140" s="49"/>
      <c r="D140" s="43"/>
      <c r="V140" s="24"/>
      <c r="X140" s="24"/>
      <c r="Z140" s="24"/>
    </row>
    <row r="141" spans="1:26" s="12" customFormat="1" ht="15.95" hidden="1" customHeight="1" x14ac:dyDescent="0.15">
      <c r="A141" s="19"/>
      <c r="B141" s="43" t="s">
        <v>409</v>
      </c>
      <c r="C141" s="19"/>
      <c r="D141" s="19"/>
      <c r="E141" s="19"/>
      <c r="F141" s="19"/>
      <c r="G141" s="19"/>
      <c r="H141" s="19"/>
      <c r="I141" s="19"/>
      <c r="J141" s="19"/>
      <c r="K141" s="19"/>
      <c r="L141" s="19"/>
      <c r="M141" s="19"/>
      <c r="N141" s="37"/>
      <c r="O141" s="37"/>
      <c r="P141" s="46"/>
    </row>
    <row r="142" spans="1:26" ht="15.95" hidden="1" customHeight="1" x14ac:dyDescent="0.15">
      <c r="B142" s="77"/>
      <c r="D142" s="38"/>
      <c r="O142" s="118"/>
      <c r="Q142" s="118"/>
      <c r="S142" s="118"/>
      <c r="U142" s="118">
        <v>2.2999999999999998</v>
      </c>
      <c r="V142" s="24"/>
      <c r="X142" s="24"/>
      <c r="Z142" s="24"/>
    </row>
    <row r="143" spans="1:26" ht="15.95" hidden="1" customHeight="1" x14ac:dyDescent="0.15">
      <c r="B143" s="36" t="s">
        <v>410</v>
      </c>
      <c r="C143" s="20" t="s">
        <v>4</v>
      </c>
      <c r="D143" s="172">
        <f>(D14*J44)</f>
        <v>0</v>
      </c>
      <c r="E143" s="43" t="s">
        <v>459</v>
      </c>
      <c r="G143" s="20" t="s">
        <v>9</v>
      </c>
      <c r="H143" s="36" t="s">
        <v>137</v>
      </c>
      <c r="V143" s="24"/>
      <c r="X143" s="24"/>
      <c r="Z143" s="24"/>
    </row>
    <row r="144" spans="1:26" ht="15.95" hidden="1" customHeight="1" x14ac:dyDescent="0.15">
      <c r="B144" s="35"/>
      <c r="V144" s="24"/>
      <c r="X144" s="24"/>
      <c r="Z144" s="24"/>
    </row>
    <row r="145" spans="2:26" ht="15.95" hidden="1" customHeight="1" x14ac:dyDescent="0.15">
      <c r="B145" s="36" t="s">
        <v>134</v>
      </c>
      <c r="C145" s="20" t="s">
        <v>4</v>
      </c>
      <c r="D145" s="172">
        <f>F44</f>
        <v>15503.573333333332</v>
      </c>
      <c r="E145" s="24" t="s">
        <v>471</v>
      </c>
      <c r="G145" s="20" t="s">
        <v>9</v>
      </c>
      <c r="H145" s="36" t="s">
        <v>138</v>
      </c>
      <c r="V145" s="24"/>
      <c r="X145" s="24"/>
      <c r="Z145" s="24"/>
    </row>
    <row r="146" spans="2:26" ht="15.95" hidden="1" customHeight="1" x14ac:dyDescent="0.15">
      <c r="V146" s="24"/>
      <c r="X146" s="24"/>
      <c r="Z146" s="24"/>
    </row>
    <row r="147" spans="2:26" ht="15.95" hidden="1" customHeight="1" x14ac:dyDescent="0.15">
      <c r="C147" s="20"/>
      <c r="V147" s="24"/>
      <c r="X147" s="24"/>
      <c r="Z147" s="24"/>
    </row>
    <row r="148" spans="2:26" ht="15.95" hidden="1" customHeight="1" x14ac:dyDescent="0.15">
      <c r="B148" s="35" t="s">
        <v>132</v>
      </c>
      <c r="D148" s="28"/>
      <c r="V148" s="24"/>
      <c r="X148" s="24"/>
      <c r="Z148" s="24"/>
    </row>
    <row r="149" spans="2:26" ht="15.95" hidden="1" customHeight="1" x14ac:dyDescent="0.15">
      <c r="V149" s="24"/>
      <c r="X149" s="24"/>
      <c r="Z149" s="24"/>
    </row>
    <row r="150" spans="2:26" ht="15.95" hidden="1" customHeight="1" x14ac:dyDescent="0.15">
      <c r="B150" s="36" t="s">
        <v>411</v>
      </c>
      <c r="C150" s="20" t="s">
        <v>4</v>
      </c>
      <c r="D150" s="36" t="s">
        <v>1045</v>
      </c>
      <c r="V150" s="24"/>
      <c r="X150" s="24"/>
      <c r="Z150" s="24"/>
    </row>
    <row r="151" spans="2:26" ht="15.95" hidden="1" customHeight="1" x14ac:dyDescent="0.15">
      <c r="C151" s="20" t="s">
        <v>4</v>
      </c>
      <c r="D151" s="29">
        <f>(D143/D145)</f>
        <v>0</v>
      </c>
      <c r="E151" s="29" t="s">
        <v>457</v>
      </c>
      <c r="V151" s="24"/>
      <c r="X151" s="24"/>
      <c r="Z151" s="24"/>
    </row>
    <row r="152" spans="2:26" ht="15.95" hidden="1" customHeight="1" x14ac:dyDescent="0.15">
      <c r="V152" s="24"/>
      <c r="X152" s="24"/>
      <c r="Z152" s="24"/>
    </row>
    <row r="153" spans="2:26" ht="15.95" hidden="1" customHeight="1" x14ac:dyDescent="0.15">
      <c r="V153" s="24"/>
      <c r="X153" s="24"/>
      <c r="Z153" s="24"/>
    </row>
    <row r="154" spans="2:26" ht="15.95" hidden="1" customHeight="1" x14ac:dyDescent="0.15">
      <c r="B154" s="35" t="s">
        <v>133</v>
      </c>
      <c r="V154" s="24"/>
      <c r="X154" s="24"/>
      <c r="Z154" s="24"/>
    </row>
    <row r="155" spans="2:26" ht="15.95" hidden="1" customHeight="1" x14ac:dyDescent="0.15">
      <c r="B155" s="35"/>
      <c r="G155" s="20"/>
      <c r="H155" s="36"/>
      <c r="V155" s="24"/>
      <c r="X155" s="24"/>
      <c r="Z155" s="24"/>
    </row>
    <row r="156" spans="2:26" ht="15.95" hidden="1" customHeight="1" x14ac:dyDescent="0.15">
      <c r="B156" s="36" t="s">
        <v>140</v>
      </c>
      <c r="C156" s="20" t="s">
        <v>4</v>
      </c>
      <c r="D156" s="29">
        <v>275</v>
      </c>
      <c r="E156" s="29" t="s">
        <v>457</v>
      </c>
      <c r="G156" s="20" t="s">
        <v>9</v>
      </c>
      <c r="H156" s="36" t="s">
        <v>649</v>
      </c>
      <c r="V156" s="24"/>
      <c r="X156" s="24"/>
      <c r="Z156" s="24"/>
    </row>
    <row r="157" spans="2:26" ht="15.95" hidden="1" customHeight="1" x14ac:dyDescent="0.15">
      <c r="B157" s="36" t="s">
        <v>319</v>
      </c>
      <c r="C157" s="20" t="s">
        <v>4</v>
      </c>
      <c r="D157" s="80" t="s">
        <v>650</v>
      </c>
      <c r="E157" s="36"/>
      <c r="V157" s="24"/>
      <c r="X157" s="24"/>
      <c r="Z157" s="24"/>
    </row>
    <row r="158" spans="2:26" ht="15.95" hidden="1" customHeight="1" x14ac:dyDescent="0.15">
      <c r="B158" s="38"/>
      <c r="C158" s="20" t="s">
        <v>4</v>
      </c>
      <c r="D158" s="29">
        <f>0.66*D156</f>
        <v>181.5</v>
      </c>
      <c r="E158" s="29" t="s">
        <v>457</v>
      </c>
      <c r="V158" s="24"/>
      <c r="X158" s="24"/>
      <c r="Z158" s="24"/>
    </row>
    <row r="159" spans="2:26" ht="15.95" hidden="1" customHeight="1" x14ac:dyDescent="0.15">
      <c r="V159" s="24"/>
      <c r="X159" s="24"/>
      <c r="Z159" s="24"/>
    </row>
    <row r="160" spans="2:26" ht="15.95" hidden="1" customHeight="1" x14ac:dyDescent="0.15">
      <c r="V160" s="24"/>
      <c r="X160" s="24"/>
      <c r="Z160" s="24"/>
    </row>
    <row r="161" spans="2:26" ht="15.95" hidden="1" customHeight="1" x14ac:dyDescent="0.15">
      <c r="B161" s="35" t="s">
        <v>142</v>
      </c>
      <c r="V161" s="24"/>
      <c r="X161" s="24"/>
      <c r="Z161" s="24"/>
    </row>
    <row r="162" spans="2:26" ht="15.95" hidden="1" customHeight="1" x14ac:dyDescent="0.15">
      <c r="B162" s="35"/>
      <c r="N162" s="20"/>
      <c r="V162" s="24"/>
      <c r="X162" s="24"/>
      <c r="Z162" s="24"/>
    </row>
    <row r="163" spans="2:26" ht="15.95" hidden="1" customHeight="1" x14ac:dyDescent="0.15">
      <c r="B163" s="36" t="s">
        <v>143</v>
      </c>
      <c r="C163" s="20" t="s">
        <v>4</v>
      </c>
      <c r="D163" s="38">
        <f>D151/D158</f>
        <v>0</v>
      </c>
      <c r="E163" s="39" t="str">
        <f>IF(D163&gt;F163,"&gt;","&lt;")</f>
        <v>&lt;</v>
      </c>
      <c r="F163" s="19">
        <v>1</v>
      </c>
      <c r="G163" s="107" t="str">
        <f>IF(D163&lt;F163,"O.K.","N.G.")</f>
        <v>O.K.</v>
      </c>
      <c r="V163" s="24"/>
      <c r="X163" s="24"/>
      <c r="Z163" s="24"/>
    </row>
    <row r="164" spans="2:26" ht="15.95" hidden="1" customHeight="1" x14ac:dyDescent="0.15">
      <c r="C164" s="119"/>
      <c r="D164" s="28"/>
      <c r="F164" s="28"/>
      <c r="V164" s="24"/>
      <c r="X164" s="24"/>
      <c r="Z164" s="24"/>
    </row>
    <row r="165" spans="2:26" ht="15.95" hidden="1" customHeight="1" x14ac:dyDescent="0.15">
      <c r="C165" s="119"/>
      <c r="D165" s="28"/>
      <c r="F165" s="28"/>
      <c r="V165" s="24"/>
      <c r="X165" s="24"/>
      <c r="Z165" s="24"/>
    </row>
    <row r="166" spans="2:26" ht="15.95" hidden="1" customHeight="1" x14ac:dyDescent="0.15">
      <c r="B166" s="40" t="s">
        <v>145</v>
      </c>
    </row>
    <row r="167" spans="2:26" ht="15.95" hidden="1" customHeight="1" x14ac:dyDescent="0.15"/>
    <row r="168" spans="2:26" ht="15.95" hidden="1" customHeight="1" x14ac:dyDescent="0.15">
      <c r="B168" s="35" t="s">
        <v>147</v>
      </c>
    </row>
    <row r="169" spans="2:26" ht="15.95" hidden="1" customHeight="1" x14ac:dyDescent="0.15">
      <c r="B169" s="35"/>
    </row>
    <row r="170" spans="2:26" ht="15.95" hidden="1" customHeight="1" x14ac:dyDescent="0.15">
      <c r="B170" s="78" t="s">
        <v>120</v>
      </c>
      <c r="C170" s="20" t="s">
        <v>4</v>
      </c>
      <c r="D170" s="24">
        <f>D16</f>
        <v>0</v>
      </c>
      <c r="E170" s="29" t="s">
        <v>479</v>
      </c>
    </row>
    <row r="171" spans="2:26" ht="15.95" hidden="1" customHeight="1" x14ac:dyDescent="0.15"/>
    <row r="172" spans="2:26" ht="15.95" hidden="1" customHeight="1" x14ac:dyDescent="0.15"/>
    <row r="173" spans="2:26" ht="15.95" hidden="1" customHeight="1" x14ac:dyDescent="0.15">
      <c r="B173" s="35" t="s">
        <v>146</v>
      </c>
      <c r="E173" s="42" t="s">
        <v>150</v>
      </c>
    </row>
    <row r="174" spans="2:26" ht="15.95" hidden="1" customHeight="1" x14ac:dyDescent="0.15">
      <c r="B174" s="35"/>
    </row>
    <row r="175" spans="2:26" ht="15.95" hidden="1" customHeight="1" x14ac:dyDescent="0.15">
      <c r="B175" s="78" t="s">
        <v>2</v>
      </c>
      <c r="C175" s="20" t="s">
        <v>4</v>
      </c>
      <c r="D175" s="167">
        <f>D9</f>
        <v>5000</v>
      </c>
      <c r="E175" s="24" t="str">
        <f>IF(D175&gt;4110,"mm      &gt;     4110 mm","mm     ≤     4110 mm")</f>
        <v>mm      &gt;     4110 mm</v>
      </c>
      <c r="M175" s="43" t="s">
        <v>151</v>
      </c>
      <c r="N175" s="41">
        <f>D175/240+6.35</f>
        <v>27.18333333333333</v>
      </c>
    </row>
    <row r="176" spans="2:26" ht="15.95" hidden="1" customHeight="1" x14ac:dyDescent="0.15">
      <c r="B176" s="78" t="s">
        <v>148</v>
      </c>
      <c r="C176" s="20" t="s">
        <v>4</v>
      </c>
      <c r="D176" s="177">
        <f>D175</f>
        <v>5000</v>
      </c>
      <c r="E176" s="35" t="str">
        <f>IF(D175&lt;4110,"mm      /     175","mm      /      240 + 6.35 mm ")</f>
        <v xml:space="preserve">mm      /      240 + 6.35 mm </v>
      </c>
      <c r="M176" s="43" t="s">
        <v>152</v>
      </c>
      <c r="N176" s="41">
        <f>D175/175</f>
        <v>28.571428571428573</v>
      </c>
    </row>
    <row r="177" spans="1:26" ht="15.95" hidden="1" customHeight="1" x14ac:dyDescent="0.15">
      <c r="B177" s="38"/>
      <c r="C177" s="20" t="s">
        <v>4</v>
      </c>
      <c r="D177" s="38">
        <f>IF(D175&gt;4110,N175,N176)</f>
        <v>27.18333333333333</v>
      </c>
      <c r="E177" s="24" t="s">
        <v>496</v>
      </c>
    </row>
    <row r="178" spans="1:26" ht="15.95" hidden="1" customHeight="1" x14ac:dyDescent="0.15"/>
    <row r="179" spans="1:26" ht="15.95" hidden="1" customHeight="1" x14ac:dyDescent="0.15"/>
    <row r="180" spans="1:26" ht="15.95" hidden="1" customHeight="1" x14ac:dyDescent="0.15">
      <c r="B180" s="35" t="s">
        <v>153</v>
      </c>
    </row>
    <row r="181" spans="1:26" s="20" customFormat="1" ht="15.95" hidden="1" customHeight="1" x14ac:dyDescent="0.15">
      <c r="A181" s="43"/>
      <c r="C181" s="43"/>
      <c r="D181" s="43"/>
      <c r="E181" s="43"/>
      <c r="F181" s="43"/>
      <c r="G181" s="43"/>
      <c r="H181" s="43"/>
      <c r="I181" s="43"/>
      <c r="J181" s="43"/>
      <c r="K181" s="43"/>
      <c r="L181" s="43"/>
      <c r="M181" s="43"/>
      <c r="O181" s="24"/>
      <c r="P181" s="24"/>
      <c r="Q181" s="24"/>
      <c r="R181" s="24"/>
      <c r="S181" s="24"/>
      <c r="T181" s="24"/>
      <c r="U181" s="24"/>
      <c r="V181" s="38"/>
      <c r="X181" s="38"/>
      <c r="Z181" s="38"/>
    </row>
    <row r="182" spans="1:26" s="20" customFormat="1" ht="15.95" hidden="1" customHeight="1" x14ac:dyDescent="0.15">
      <c r="A182" s="24"/>
      <c r="B182" s="36" t="s">
        <v>359</v>
      </c>
      <c r="C182" s="20" t="s">
        <v>4</v>
      </c>
      <c r="D182" s="38">
        <f>D170/(D177)</f>
        <v>0</v>
      </c>
      <c r="E182" s="39" t="str">
        <f>IF(D182&gt;F182,"&gt;","&lt;")</f>
        <v>&lt;</v>
      </c>
      <c r="F182" s="19">
        <v>1</v>
      </c>
      <c r="G182" s="107" t="str">
        <f>IF(D182&lt;F182,"O.K.","N.G.")</f>
        <v>O.K.</v>
      </c>
      <c r="I182" s="43"/>
      <c r="J182" s="43"/>
      <c r="K182" s="43"/>
      <c r="L182" s="43"/>
      <c r="M182" s="43"/>
      <c r="O182" s="24"/>
      <c r="P182" s="24"/>
      <c r="Q182" s="24"/>
      <c r="R182" s="24"/>
      <c r="S182" s="24"/>
      <c r="T182" s="24"/>
      <c r="U182" s="24"/>
      <c r="V182" s="38"/>
      <c r="X182" s="38"/>
      <c r="Z182" s="38"/>
    </row>
    <row r="183" spans="1:26" ht="15.95" hidden="1" customHeight="1" x14ac:dyDescent="0.15"/>
    <row r="184" spans="1:26" ht="15.95" hidden="1" customHeight="1" x14ac:dyDescent="0.15"/>
  </sheetData>
  <sheetProtection algorithmName="SHA-512" hashValue="XdbxpaA+yvbtoFL6IVYhs4WZaSt281Hu0Cc1MwWulwxJ43F5T/OWRz7nHBLdzGnWKeCWFFnPxNBSFxEcsWEIqg==" saltValue="UfhcIkMfBeUef+rPUMXmOQ==" spinCount="100000" sheet="1" objects="1" scenarios="1" selectLockedCells="1"/>
  <protectedRanges>
    <protectedRange sqref="D12" name="범위1_2"/>
    <protectedRange sqref="D11" name="범위1_2_1"/>
    <protectedRange sqref="D7:D10" name="범위1_2_2"/>
  </protectedRanges>
  <mergeCells count="15">
    <mergeCell ref="B46:K46"/>
    <mergeCell ref="M6:N6"/>
    <mergeCell ref="D122:E122"/>
    <mergeCell ref="Q96:R96"/>
    <mergeCell ref="S96:U96"/>
    <mergeCell ref="Q105:R105"/>
    <mergeCell ref="S105:U105"/>
    <mergeCell ref="Q113:R113"/>
    <mergeCell ref="S113:U113"/>
    <mergeCell ref="N13:N14"/>
    <mergeCell ref="O13:O14"/>
    <mergeCell ref="Q16:Q17"/>
    <mergeCell ref="O16:O17"/>
    <mergeCell ref="P80:P81"/>
    <mergeCell ref="P48:P49"/>
  </mergeCells>
  <phoneticPr fontId="2" type="noConversion"/>
  <pageMargins left="0.51181102362204722" right="0.51181102362204722" top="0.78740157480314965" bottom="0.59055118110236227" header="0.39370078740157483" footer="0.39370078740157483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tabColor rgb="FF00B0F0"/>
  </sheetPr>
  <dimension ref="A1:AA157"/>
  <sheetViews>
    <sheetView view="pageBreakPreview" zoomScale="75" zoomScaleNormal="100" zoomScaleSheetLayoutView="75" workbookViewId="0">
      <selection activeCell="G6" sqref="G6"/>
    </sheetView>
  </sheetViews>
  <sheetFormatPr defaultRowHeight="15.95" customHeight="1" x14ac:dyDescent="0.15"/>
  <cols>
    <col min="1" max="1" width="2.77734375" style="24" customWidth="1"/>
    <col min="2" max="2" width="7.33203125" style="24" customWidth="1"/>
    <col min="3" max="3" width="5.33203125" style="24" customWidth="1"/>
    <col min="4" max="4" width="9.33203125" style="24" customWidth="1"/>
    <col min="5" max="5" width="5.33203125" style="24" customWidth="1"/>
    <col min="6" max="6" width="9.33203125" style="24" customWidth="1"/>
    <col min="7" max="8" width="7.33203125" style="24" customWidth="1"/>
    <col min="9" max="9" width="5.33203125" style="24" customWidth="1"/>
    <col min="10" max="10" width="9.33203125" style="24" customWidth="1"/>
    <col min="11" max="11" width="7.33203125" style="24" customWidth="1"/>
    <col min="12" max="12" width="2.77734375" style="24" customWidth="1"/>
    <col min="13" max="13" width="6.77734375" style="24" customWidth="1"/>
    <col min="14" max="14" width="6.33203125" style="24" customWidth="1"/>
    <col min="15" max="15" width="8.77734375" style="24" customWidth="1"/>
    <col min="16" max="16" width="9.77734375" style="24" customWidth="1"/>
    <col min="17" max="17" width="6.77734375" style="24" customWidth="1"/>
    <col min="18" max="18" width="8.77734375" style="24" customWidth="1"/>
    <col min="19" max="20" width="6.77734375" style="24" customWidth="1"/>
    <col min="21" max="21" width="9.77734375" style="24" hidden="1" customWidth="1"/>
    <col min="22" max="22" width="0" style="38" hidden="1" customWidth="1"/>
    <col min="23" max="23" width="5.77734375" style="24" hidden="1" customWidth="1"/>
    <col min="24" max="24" width="5.77734375" style="38" hidden="1" customWidth="1"/>
    <col min="25" max="25" width="5.77734375" style="24" hidden="1" customWidth="1"/>
    <col min="26" max="26" width="5.77734375" style="38" hidden="1" customWidth="1"/>
    <col min="27" max="27" width="5.77734375" style="24" hidden="1" customWidth="1"/>
    <col min="28" max="16384" width="8.88671875" style="24"/>
  </cols>
  <sheetData>
    <row r="1" spans="1:17" ht="15.95" customHeight="1" x14ac:dyDescent="0.15">
      <c r="A1" s="76" t="s">
        <v>188</v>
      </c>
    </row>
    <row r="3" spans="1:17" ht="15.95" customHeight="1" x14ac:dyDescent="0.15">
      <c r="B3" s="77" t="s">
        <v>58</v>
      </c>
    </row>
    <row r="5" spans="1:17" ht="15.95" customHeight="1" x14ac:dyDescent="0.15">
      <c r="B5" s="78" t="s">
        <v>59</v>
      </c>
      <c r="C5" s="20" t="s">
        <v>4</v>
      </c>
      <c r="D5" s="42">
        <f>(SUMPRODUCT((N8:N10=N7)*(O7:P7=M7),O8:P10))</f>
        <v>0</v>
      </c>
      <c r="E5" s="43" t="s">
        <v>456</v>
      </c>
      <c r="H5" s="36" t="s">
        <v>69</v>
      </c>
      <c r="I5" s="49"/>
      <c r="M5" s="38"/>
      <c r="P5" s="12"/>
      <c r="Q5" s="12"/>
    </row>
    <row r="6" spans="1:17" ht="15.95" customHeight="1" x14ac:dyDescent="0.15">
      <c r="B6" s="78" t="s">
        <v>190</v>
      </c>
      <c r="C6" s="20" t="s">
        <v>4</v>
      </c>
      <c r="D6" s="159">
        <f>710100/100*9.80665</f>
        <v>69637.021649999995</v>
      </c>
      <c r="E6" s="43" t="s">
        <v>457</v>
      </c>
      <c r="F6" s="80" t="s">
        <v>191</v>
      </c>
      <c r="G6" s="561">
        <v>5</v>
      </c>
      <c r="H6" s="36" t="s">
        <v>203</v>
      </c>
      <c r="I6" s="43"/>
      <c r="M6" s="694" t="s">
        <v>543</v>
      </c>
      <c r="N6" s="694"/>
      <c r="O6" s="188"/>
      <c r="P6" s="189"/>
      <c r="Q6" s="26"/>
    </row>
    <row r="7" spans="1:17" ht="15.95" customHeight="1" x14ac:dyDescent="0.15">
      <c r="B7" s="78" t="s">
        <v>60</v>
      </c>
      <c r="C7" s="20" t="s">
        <v>4</v>
      </c>
      <c r="D7" s="570">
        <v>1200</v>
      </c>
      <c r="E7" s="43" t="s">
        <v>458</v>
      </c>
      <c r="H7" s="36" t="s">
        <v>70</v>
      </c>
      <c r="M7" s="562" t="s">
        <v>541</v>
      </c>
      <c r="N7" s="563">
        <v>1</v>
      </c>
      <c r="O7" s="185" t="s">
        <v>541</v>
      </c>
      <c r="P7" s="185" t="s">
        <v>542</v>
      </c>
    </row>
    <row r="8" spans="1:17" ht="15.95" customHeight="1" x14ac:dyDescent="0.15">
      <c r="B8" s="78" t="s">
        <v>61</v>
      </c>
      <c r="C8" s="20" t="s">
        <v>4</v>
      </c>
      <c r="D8" s="570">
        <v>1500</v>
      </c>
      <c r="E8" s="43" t="s">
        <v>458</v>
      </c>
      <c r="H8" s="36" t="s">
        <v>71</v>
      </c>
      <c r="M8" s="190" t="s">
        <v>453</v>
      </c>
      <c r="N8" s="186">
        <v>1</v>
      </c>
      <c r="O8" s="187" t="str">
        <f>풍하중!T8</f>
        <v>-</v>
      </c>
      <c r="P8" s="187">
        <f>풍하중!U8</f>
        <v>1.52</v>
      </c>
    </row>
    <row r="9" spans="1:17" ht="15.95" customHeight="1" x14ac:dyDescent="0.15">
      <c r="B9" s="36" t="s">
        <v>491</v>
      </c>
      <c r="C9" s="20" t="s">
        <v>4</v>
      </c>
      <c r="D9" s="570">
        <v>1000</v>
      </c>
      <c r="E9" s="43" t="s">
        <v>458</v>
      </c>
      <c r="H9" s="36" t="s">
        <v>400</v>
      </c>
      <c r="I9" s="43"/>
      <c r="M9" s="190" t="s">
        <v>454</v>
      </c>
      <c r="N9" s="186">
        <v>2</v>
      </c>
      <c r="O9" s="187" t="str">
        <f>풍하중!T9</f>
        <v>-</v>
      </c>
      <c r="P9" s="187">
        <f>풍하중!U9</f>
        <v>-1.1619999999999999</v>
      </c>
    </row>
    <row r="10" spans="1:17" ht="15.95" customHeight="1" x14ac:dyDescent="0.15">
      <c r="B10" s="36" t="s">
        <v>490</v>
      </c>
      <c r="C10" s="20" t="s">
        <v>4</v>
      </c>
      <c r="D10" s="570">
        <v>4000</v>
      </c>
      <c r="E10" s="43" t="s">
        <v>458</v>
      </c>
      <c r="H10" s="36" t="s">
        <v>401</v>
      </c>
      <c r="I10" s="43"/>
      <c r="M10" s="190" t="s">
        <v>455</v>
      </c>
      <c r="N10" s="186">
        <v>3</v>
      </c>
      <c r="O10" s="187" t="str">
        <f>풍하중!T10</f>
        <v>-</v>
      </c>
      <c r="P10" s="187">
        <f>풍하중!U10</f>
        <v>-1.39</v>
      </c>
    </row>
    <row r="11" spans="1:17" ht="15.95" customHeight="1" x14ac:dyDescent="0.15">
      <c r="B11" s="36" t="s">
        <v>492</v>
      </c>
      <c r="C11" s="20" t="s">
        <v>4</v>
      </c>
      <c r="D11" s="570">
        <v>2600</v>
      </c>
      <c r="E11" s="43" t="s">
        <v>458</v>
      </c>
      <c r="H11" s="36" t="s">
        <v>72</v>
      </c>
    </row>
    <row r="13" spans="1:17" ht="15.95" customHeight="1" x14ac:dyDescent="0.15">
      <c r="M13" s="165"/>
      <c r="N13" s="698"/>
      <c r="O13" s="698"/>
    </row>
    <row r="14" spans="1:17" ht="15.95" customHeight="1" x14ac:dyDescent="0.15">
      <c r="B14" s="36" t="s">
        <v>65</v>
      </c>
      <c r="C14" s="20" t="s">
        <v>4</v>
      </c>
      <c r="D14" s="172">
        <f>D89</f>
        <v>0</v>
      </c>
      <c r="E14" s="43" t="s">
        <v>513</v>
      </c>
      <c r="F14" s="36"/>
      <c r="H14" s="162" t="s">
        <v>66</v>
      </c>
      <c r="I14" s="20" t="s">
        <v>4</v>
      </c>
      <c r="J14" s="108">
        <f>D130</f>
        <v>0</v>
      </c>
      <c r="K14" s="83" t="str">
        <f>IF(J14&lt;1,"O.K","N.G")</f>
        <v>O.K</v>
      </c>
      <c r="M14" s="165"/>
      <c r="N14" s="698"/>
      <c r="O14" s="698"/>
    </row>
    <row r="16" spans="1:17" ht="15.95" customHeight="1" x14ac:dyDescent="0.15">
      <c r="B16" s="36" t="s">
        <v>120</v>
      </c>
      <c r="C16" s="20" t="s">
        <v>4</v>
      </c>
      <c r="D16" s="79">
        <f>D91</f>
        <v>0</v>
      </c>
      <c r="E16" s="43" t="s">
        <v>458</v>
      </c>
      <c r="F16" s="36"/>
    </row>
    <row r="17" spans="2:26" ht="15.95" customHeight="1" x14ac:dyDescent="0.15">
      <c r="B17" s="36" t="s">
        <v>484</v>
      </c>
      <c r="C17" s="20" t="s">
        <v>4</v>
      </c>
      <c r="D17" s="79">
        <f>D150</f>
        <v>22.857142857142858</v>
      </c>
      <c r="E17" s="43" t="s">
        <v>458</v>
      </c>
      <c r="H17" s="80" t="s">
        <v>68</v>
      </c>
      <c r="I17" s="20" t="s">
        <v>4</v>
      </c>
      <c r="J17" s="108">
        <f>D155</f>
        <v>0</v>
      </c>
      <c r="K17" s="83" t="str">
        <f>IF(J17&lt;1,"O.K","N.G")</f>
        <v>O.K</v>
      </c>
    </row>
    <row r="19" spans="2:26" ht="15.95" customHeight="1" x14ac:dyDescent="0.15">
      <c r="B19" s="78"/>
      <c r="C19" s="82"/>
      <c r="D19" s="20"/>
    </row>
    <row r="20" spans="2:26" ht="15.95" customHeight="1" x14ac:dyDescent="0.15">
      <c r="B20" s="77" t="s">
        <v>78</v>
      </c>
      <c r="E20" s="49"/>
      <c r="H20" s="77" t="s">
        <v>485</v>
      </c>
      <c r="J20" s="559">
        <v>1</v>
      </c>
      <c r="N20" s="24" t="s">
        <v>474</v>
      </c>
      <c r="Q20" s="20" t="s">
        <v>51</v>
      </c>
    </row>
    <row r="21" spans="2:26" ht="15.95" customHeight="1" thickBot="1" x14ac:dyDescent="0.2">
      <c r="K21" s="81"/>
      <c r="L21" s="81"/>
      <c r="M21" s="81"/>
    </row>
    <row r="22" spans="2:26" ht="15.95" customHeight="1" thickBot="1" x14ac:dyDescent="0.2">
      <c r="B22" s="138"/>
      <c r="C22" s="139"/>
      <c r="D22" s="139"/>
      <c r="E22" s="139"/>
      <c r="F22" s="139"/>
      <c r="G22" s="696"/>
      <c r="H22" s="696"/>
      <c r="I22" s="696"/>
      <c r="J22" s="696"/>
      <c r="K22" s="697"/>
      <c r="N22" s="138" t="s">
        <v>287</v>
      </c>
      <c r="O22" s="139"/>
      <c r="P22" s="139"/>
      <c r="Q22" s="138" t="s">
        <v>288</v>
      </c>
      <c r="R22" s="139"/>
      <c r="S22" s="140"/>
    </row>
    <row r="23" spans="2:26" ht="15.95" customHeight="1" x14ac:dyDescent="0.15">
      <c r="B23" s="91"/>
      <c r="G23" s="698"/>
      <c r="H23" s="698"/>
      <c r="I23" s="698"/>
      <c r="J23" s="698"/>
      <c r="K23" s="699"/>
      <c r="N23" s="84" t="s">
        <v>46</v>
      </c>
      <c r="O23" s="564">
        <v>60</v>
      </c>
      <c r="P23" s="154" t="s">
        <v>468</v>
      </c>
      <c r="Q23" s="84" t="s">
        <v>46</v>
      </c>
      <c r="R23" s="564">
        <v>60</v>
      </c>
      <c r="S23" s="85" t="s">
        <v>468</v>
      </c>
      <c r="U23" s="80" t="s">
        <v>155</v>
      </c>
      <c r="V23" s="24">
        <f>V37*X37</f>
        <v>60</v>
      </c>
      <c r="W23" s="80" t="s">
        <v>156</v>
      </c>
      <c r="X23" s="24">
        <f>X37/2</f>
        <v>15</v>
      </c>
      <c r="Y23" s="80" t="s">
        <v>157</v>
      </c>
      <c r="Z23" s="24">
        <f>V36+X35/2</f>
        <v>30</v>
      </c>
    </row>
    <row r="24" spans="2:26" ht="15.95" customHeight="1" x14ac:dyDescent="0.15">
      <c r="B24" s="91"/>
      <c r="G24" s="698"/>
      <c r="H24" s="698"/>
      <c r="I24" s="698"/>
      <c r="J24" s="698"/>
      <c r="K24" s="699"/>
      <c r="N24" s="71" t="s">
        <v>199</v>
      </c>
      <c r="O24" s="565">
        <v>120</v>
      </c>
      <c r="P24" s="43" t="s">
        <v>468</v>
      </c>
      <c r="Q24" s="71" t="s">
        <v>199</v>
      </c>
      <c r="R24" s="565">
        <v>120</v>
      </c>
      <c r="S24" s="86" t="s">
        <v>468</v>
      </c>
      <c r="U24" s="80" t="s">
        <v>158</v>
      </c>
      <c r="V24" s="24">
        <f>X35*V35</f>
        <v>112</v>
      </c>
      <c r="W24" s="80" t="s">
        <v>159</v>
      </c>
      <c r="X24" s="24">
        <f>X37+V35/2</f>
        <v>31</v>
      </c>
      <c r="Y24" s="80" t="s">
        <v>160</v>
      </c>
      <c r="Z24" s="24">
        <f>V36+X35/2</f>
        <v>30</v>
      </c>
    </row>
    <row r="25" spans="2:26" ht="15.95" customHeight="1" x14ac:dyDescent="0.15">
      <c r="B25" s="91"/>
      <c r="G25" s="698"/>
      <c r="H25" s="698"/>
      <c r="I25" s="698"/>
      <c r="J25" s="698"/>
      <c r="K25" s="699"/>
      <c r="N25" s="71" t="s">
        <v>204</v>
      </c>
      <c r="O25" s="565">
        <v>30</v>
      </c>
      <c r="P25" s="43" t="s">
        <v>468</v>
      </c>
      <c r="Q25" s="91"/>
      <c r="R25" s="566"/>
      <c r="S25" s="110"/>
      <c r="U25" s="80" t="s">
        <v>161</v>
      </c>
      <c r="V25" s="24">
        <f>X35*V35</f>
        <v>112</v>
      </c>
      <c r="W25" s="80" t="s">
        <v>162</v>
      </c>
      <c r="X25" s="24">
        <f>X37+(X36-V35)+V35/2</f>
        <v>149</v>
      </c>
      <c r="Y25" s="80" t="s">
        <v>163</v>
      </c>
      <c r="Z25" s="24">
        <f>V36+X35/2</f>
        <v>30</v>
      </c>
    </row>
    <row r="26" spans="2:26" ht="15.95" customHeight="1" x14ac:dyDescent="0.15">
      <c r="B26" s="91"/>
      <c r="G26" s="698"/>
      <c r="H26" s="698"/>
      <c r="I26" s="698"/>
      <c r="J26" s="698"/>
      <c r="K26" s="699"/>
      <c r="N26" s="71" t="s">
        <v>74</v>
      </c>
      <c r="O26" s="565">
        <v>2</v>
      </c>
      <c r="P26" s="43" t="s">
        <v>468</v>
      </c>
      <c r="Q26" s="71" t="s">
        <v>74</v>
      </c>
      <c r="R26" s="565">
        <v>2</v>
      </c>
      <c r="S26" s="86" t="s">
        <v>468</v>
      </c>
      <c r="U26" s="80" t="s">
        <v>164</v>
      </c>
      <c r="V26" s="24">
        <f>X36*V36</f>
        <v>240</v>
      </c>
      <c r="W26" s="80" t="s">
        <v>165</v>
      </c>
      <c r="X26" s="24">
        <f>X37+X36/2</f>
        <v>90</v>
      </c>
      <c r="Y26" s="80" t="s">
        <v>166</v>
      </c>
      <c r="Z26" s="24">
        <f>V36/2</f>
        <v>1</v>
      </c>
    </row>
    <row r="27" spans="2:26" ht="15.95" customHeight="1" x14ac:dyDescent="0.15">
      <c r="B27" s="91"/>
      <c r="G27" s="698"/>
      <c r="H27" s="698"/>
      <c r="I27" s="698"/>
      <c r="J27" s="698"/>
      <c r="K27" s="699"/>
      <c r="N27" s="71" t="s">
        <v>466</v>
      </c>
      <c r="O27" s="565">
        <v>2</v>
      </c>
      <c r="P27" s="43" t="s">
        <v>468</v>
      </c>
      <c r="Q27" s="71" t="s">
        <v>75</v>
      </c>
      <c r="R27" s="567">
        <v>2</v>
      </c>
      <c r="S27" s="86" t="s">
        <v>468</v>
      </c>
      <c r="U27" s="80" t="s">
        <v>167</v>
      </c>
      <c r="V27" s="24">
        <f>X36*V36</f>
        <v>240</v>
      </c>
      <c r="W27" s="80" t="s">
        <v>168</v>
      </c>
      <c r="X27" s="24">
        <f>X37+X36/2</f>
        <v>90</v>
      </c>
      <c r="Y27" s="80" t="s">
        <v>169</v>
      </c>
      <c r="Z27" s="24">
        <f>V36+X35+V36/2</f>
        <v>59</v>
      </c>
    </row>
    <row r="28" spans="2:26" ht="15.95" customHeight="1" thickBot="1" x14ac:dyDescent="0.2">
      <c r="B28" s="91"/>
      <c r="G28" s="698"/>
      <c r="H28" s="698"/>
      <c r="I28" s="698"/>
      <c r="J28" s="698"/>
      <c r="K28" s="699"/>
      <c r="N28" s="71" t="s">
        <v>192</v>
      </c>
      <c r="O28" s="565">
        <v>2</v>
      </c>
      <c r="P28" s="43" t="s">
        <v>468</v>
      </c>
      <c r="Q28" s="91"/>
      <c r="R28" s="566"/>
      <c r="S28" s="110"/>
      <c r="U28" s="80"/>
      <c r="V28" s="24"/>
      <c r="W28" s="80"/>
      <c r="X28" s="24"/>
      <c r="Y28" s="80"/>
      <c r="Z28" s="24"/>
    </row>
    <row r="29" spans="2:26" ht="15.95" customHeight="1" x14ac:dyDescent="0.15">
      <c r="B29" s="91"/>
      <c r="G29" s="698"/>
      <c r="H29" s="698"/>
      <c r="I29" s="698"/>
      <c r="J29" s="698"/>
      <c r="K29" s="699"/>
      <c r="N29" s="84" t="s">
        <v>196</v>
      </c>
      <c r="O29" s="151">
        <f>O24+O25</f>
        <v>150</v>
      </c>
      <c r="P29" s="85" t="s">
        <v>458</v>
      </c>
      <c r="Q29" s="91"/>
      <c r="R29" s="566"/>
      <c r="S29" s="110"/>
      <c r="U29" s="80" t="s">
        <v>170</v>
      </c>
      <c r="V29" s="24">
        <f>X23-Z31</f>
        <v>-69.109947643979055</v>
      </c>
      <c r="W29" s="80" t="s">
        <v>171</v>
      </c>
      <c r="X29" s="24">
        <f>Z23-Z32</f>
        <v>0</v>
      </c>
      <c r="Y29" s="80" t="s">
        <v>172</v>
      </c>
      <c r="Z29" s="24">
        <f>V23*X23+V24*X24+V25*X25+V26*X26+V27*X27</f>
        <v>64260</v>
      </c>
    </row>
    <row r="30" spans="2:26" ht="15.95" customHeight="1" x14ac:dyDescent="0.15">
      <c r="B30" s="91"/>
      <c r="G30" s="698"/>
      <c r="H30" s="698"/>
      <c r="I30" s="698"/>
      <c r="J30" s="698"/>
      <c r="K30" s="699"/>
      <c r="N30" s="71" t="s">
        <v>77</v>
      </c>
      <c r="O30" s="23">
        <f>O23-2*O27</f>
        <v>56</v>
      </c>
      <c r="P30" s="43" t="s">
        <v>458</v>
      </c>
      <c r="Q30" s="91"/>
      <c r="R30" s="566"/>
      <c r="S30" s="110"/>
      <c r="U30" s="80" t="s">
        <v>174</v>
      </c>
      <c r="V30" s="24">
        <f>X24-Z31</f>
        <v>-53.109947643979055</v>
      </c>
      <c r="W30" s="80" t="s">
        <v>175</v>
      </c>
      <c r="X30" s="24">
        <f>Z24-Z32</f>
        <v>0</v>
      </c>
      <c r="Y30" s="80" t="s">
        <v>176</v>
      </c>
      <c r="Z30" s="24">
        <f>V23*Z23+V24*Z24+V25*Z25+V26*Z26+V27*Z27</f>
        <v>22920</v>
      </c>
    </row>
    <row r="31" spans="2:26" ht="15.95" customHeight="1" x14ac:dyDescent="0.15">
      <c r="B31" s="91"/>
      <c r="G31" s="698"/>
      <c r="H31" s="698"/>
      <c r="I31" s="698"/>
      <c r="J31" s="698"/>
      <c r="K31" s="699"/>
      <c r="N31" s="71" t="s">
        <v>193</v>
      </c>
      <c r="O31" s="23">
        <f>Z33</f>
        <v>1671313.4310645724</v>
      </c>
      <c r="P31" s="43" t="s">
        <v>469</v>
      </c>
      <c r="Q31" s="71" t="s">
        <v>193</v>
      </c>
      <c r="R31" s="565">
        <v>3779510</v>
      </c>
      <c r="S31" s="86" t="s">
        <v>469</v>
      </c>
      <c r="U31" s="80" t="s">
        <v>177</v>
      </c>
      <c r="V31" s="24">
        <f>X25-Z31</f>
        <v>64.890052356020945</v>
      </c>
      <c r="W31" s="80" t="s">
        <v>178</v>
      </c>
      <c r="X31" s="24">
        <f>Z25-Z32</f>
        <v>0</v>
      </c>
      <c r="Y31" s="80" t="s">
        <v>179</v>
      </c>
      <c r="Z31" s="24">
        <f>Z29/(V23+V24+V25+V26+V27)</f>
        <v>84.109947643979055</v>
      </c>
    </row>
    <row r="32" spans="2:26" ht="15.95" customHeight="1" x14ac:dyDescent="0.15">
      <c r="B32" s="91"/>
      <c r="G32" s="698"/>
      <c r="H32" s="698"/>
      <c r="I32" s="698"/>
      <c r="J32" s="698"/>
      <c r="K32" s="699"/>
      <c r="N32" s="71" t="s">
        <v>194</v>
      </c>
      <c r="O32" s="23">
        <f>Z34</f>
        <v>462398.66666666663</v>
      </c>
      <c r="P32" s="43" t="s">
        <v>469</v>
      </c>
      <c r="Q32" s="71" t="s">
        <v>194</v>
      </c>
      <c r="R32" s="565">
        <v>652452</v>
      </c>
      <c r="S32" s="86" t="s">
        <v>469</v>
      </c>
      <c r="U32" s="80" t="s">
        <v>180</v>
      </c>
      <c r="V32" s="24">
        <f>X26-Z31</f>
        <v>5.890052356020945</v>
      </c>
      <c r="W32" s="80" t="s">
        <v>181</v>
      </c>
      <c r="X32" s="24">
        <f>Z26-Z32</f>
        <v>-29</v>
      </c>
      <c r="Y32" s="80" t="s">
        <v>182</v>
      </c>
      <c r="Z32" s="24">
        <f>Z30/(V23+V24+V25+V26+V27)</f>
        <v>30</v>
      </c>
    </row>
    <row r="33" spans="2:26" ht="15.95" customHeight="1" x14ac:dyDescent="0.15">
      <c r="B33" s="91"/>
      <c r="G33" s="698"/>
      <c r="H33" s="698"/>
      <c r="I33" s="698"/>
      <c r="J33" s="698"/>
      <c r="K33" s="699"/>
      <c r="N33" s="71" t="s">
        <v>890</v>
      </c>
      <c r="O33" s="23">
        <f>Z32</f>
        <v>30</v>
      </c>
      <c r="P33" s="43" t="s">
        <v>458</v>
      </c>
      <c r="Q33" s="71" t="s">
        <v>890</v>
      </c>
      <c r="R33" s="565">
        <v>30</v>
      </c>
      <c r="S33" s="86" t="s">
        <v>468</v>
      </c>
      <c r="U33" s="80" t="s">
        <v>183</v>
      </c>
      <c r="V33" s="24">
        <f>X27-Z31</f>
        <v>5.890052356020945</v>
      </c>
      <c r="W33" s="80" t="s">
        <v>184</v>
      </c>
      <c r="X33" s="24">
        <f>Z27-Z32</f>
        <v>29</v>
      </c>
      <c r="Y33" s="80" t="s">
        <v>185</v>
      </c>
      <c r="Z33" s="24">
        <f>((V37*X37*X37*X37)/12+V23*V29*V29)+((X35*V35*V35*V35)/12+V24*V30*V30)+((X35*V35*V35*V35)/12+V25*V31*V31)+((V36*X36*X36*X36)/12+V26*V32*V32)+((V36*X36*X36*X36)/12+V27*V33*V33)</f>
        <v>1671313.4310645724</v>
      </c>
    </row>
    <row r="34" spans="2:26" ht="15.95" customHeight="1" x14ac:dyDescent="0.15">
      <c r="B34" s="71" t="s">
        <v>196</v>
      </c>
      <c r="C34" s="20" t="s">
        <v>4</v>
      </c>
      <c r="D34" s="155">
        <f>IF($J$20=1, O29,Q20)</f>
        <v>150</v>
      </c>
      <c r="E34" s="43" t="s">
        <v>468</v>
      </c>
      <c r="F34" s="89"/>
      <c r="G34" s="698"/>
      <c r="H34" s="698"/>
      <c r="I34" s="698"/>
      <c r="J34" s="698"/>
      <c r="K34" s="699"/>
      <c r="N34" s="71" t="s">
        <v>891</v>
      </c>
      <c r="O34" s="23">
        <f>Z31</f>
        <v>84.109947643979055</v>
      </c>
      <c r="P34" s="43" t="s">
        <v>458</v>
      </c>
      <c r="Q34" s="71" t="s">
        <v>891</v>
      </c>
      <c r="R34" s="565">
        <v>95.14</v>
      </c>
      <c r="S34" s="86" t="s">
        <v>468</v>
      </c>
      <c r="U34" s="38"/>
      <c r="V34" s="24"/>
      <c r="W34" s="38"/>
      <c r="X34" s="24"/>
      <c r="Y34" s="80" t="s">
        <v>186</v>
      </c>
      <c r="Z34" s="24">
        <f>((X37*V37*V37*V37)/12+V23*X29*X29)+((V35*X35*X35*X35)/12+V24*X30*X30)+((V35*X35*X35*X35)/12+V25*X31*X31)+((X36*V36*V36*V36)/12+V26*X32*X32)+((X36*V36*V36*V36)/12+V27*X33*X33)</f>
        <v>462398.66666666663</v>
      </c>
    </row>
    <row r="35" spans="2:26" ht="15.95" customHeight="1" x14ac:dyDescent="0.15">
      <c r="B35" s="71" t="s">
        <v>46</v>
      </c>
      <c r="C35" s="20" t="s">
        <v>4</v>
      </c>
      <c r="D35" s="155">
        <f>IF($J$20=1, O23,Q20)</f>
        <v>60</v>
      </c>
      <c r="E35" s="43" t="s">
        <v>468</v>
      </c>
      <c r="G35" s="698"/>
      <c r="H35" s="698"/>
      <c r="I35" s="698"/>
      <c r="J35" s="698"/>
      <c r="K35" s="699"/>
      <c r="N35" s="71" t="s">
        <v>195</v>
      </c>
      <c r="O35" s="23">
        <f>O31/O34</f>
        <v>19870.579852681814</v>
      </c>
      <c r="P35" s="43" t="s">
        <v>470</v>
      </c>
      <c r="Q35" s="71" t="s">
        <v>195</v>
      </c>
      <c r="R35" s="565">
        <f>R31/R34</f>
        <v>39725.772545722095</v>
      </c>
      <c r="S35" s="86" t="s">
        <v>470</v>
      </c>
      <c r="U35" s="80" t="s">
        <v>462</v>
      </c>
      <c r="V35" s="24">
        <f>O26</f>
        <v>2</v>
      </c>
      <c r="W35" s="80" t="s">
        <v>77</v>
      </c>
      <c r="X35" s="24">
        <f>O30</f>
        <v>56</v>
      </c>
      <c r="Y35" s="38"/>
      <c r="Z35" s="24"/>
    </row>
    <row r="36" spans="2:26" ht="15.95" customHeight="1" thickBot="1" x14ac:dyDescent="0.2">
      <c r="B36" s="71" t="s">
        <v>199</v>
      </c>
      <c r="C36" s="20" t="s">
        <v>4</v>
      </c>
      <c r="D36" s="155">
        <f>IF($J$20=1, O24,Q20)</f>
        <v>120</v>
      </c>
      <c r="E36" s="43" t="s">
        <v>468</v>
      </c>
      <c r="F36" s="89"/>
      <c r="G36" s="698"/>
      <c r="H36" s="698"/>
      <c r="I36" s="698"/>
      <c r="J36" s="698"/>
      <c r="K36" s="699"/>
      <c r="N36" s="87" t="s">
        <v>349</v>
      </c>
      <c r="O36" s="152">
        <f>(2*O27*O26*(O23-O27)^2*(O24-O26)^2)/((O23*O27)+(O24*O26)-O27^2-O26^2)</f>
        <v>1064553.0909090908</v>
      </c>
      <c r="P36" s="153" t="s">
        <v>470</v>
      </c>
      <c r="Q36" s="87" t="s">
        <v>304</v>
      </c>
      <c r="R36" s="152">
        <f>(2*R27*R26*(R23-R27)^2*(R24-R26)^2)/((R23*R27)+(R24*R26)-R27^2-R26^2)</f>
        <v>1064553.0909090908</v>
      </c>
      <c r="S36" s="88" t="s">
        <v>471</v>
      </c>
      <c r="U36" s="80" t="s">
        <v>461</v>
      </c>
      <c r="V36" s="24">
        <f>O27</f>
        <v>2</v>
      </c>
      <c r="W36" s="80" t="s">
        <v>463</v>
      </c>
      <c r="X36" s="24">
        <f>O24</f>
        <v>120</v>
      </c>
      <c r="Y36" s="38"/>
      <c r="Z36" s="24"/>
    </row>
    <row r="37" spans="2:26" ht="15.95" customHeight="1" x14ac:dyDescent="0.15">
      <c r="B37" s="71" t="s">
        <v>519</v>
      </c>
      <c r="C37" s="20" t="s">
        <v>4</v>
      </c>
      <c r="D37" s="155">
        <f>IF($J$20=1, O25,Q20)</f>
        <v>30</v>
      </c>
      <c r="E37" s="43" t="s">
        <v>468</v>
      </c>
      <c r="F37" s="89"/>
      <c r="G37" s="698"/>
      <c r="H37" s="698"/>
      <c r="I37" s="698"/>
      <c r="J37" s="698"/>
      <c r="K37" s="699"/>
      <c r="U37" s="80" t="s">
        <v>467</v>
      </c>
      <c r="V37" s="24">
        <f>O28</f>
        <v>2</v>
      </c>
      <c r="W37" s="80" t="s">
        <v>464</v>
      </c>
      <c r="X37" s="24">
        <f>O25</f>
        <v>30</v>
      </c>
      <c r="Y37" s="38"/>
      <c r="Z37" s="24"/>
    </row>
    <row r="38" spans="2:26" ht="15.95" customHeight="1" x14ac:dyDescent="0.15">
      <c r="B38" s="71" t="s">
        <v>74</v>
      </c>
      <c r="C38" s="20" t="s">
        <v>4</v>
      </c>
      <c r="D38" s="155">
        <f>IF($J$20=1, O26,Q20)</f>
        <v>2</v>
      </c>
      <c r="E38" s="43" t="s">
        <v>468</v>
      </c>
      <c r="F38" s="89"/>
      <c r="G38" s="698"/>
      <c r="H38" s="698"/>
      <c r="I38" s="698"/>
      <c r="J38" s="698"/>
      <c r="K38" s="699"/>
      <c r="N38" s="24" t="s">
        <v>205</v>
      </c>
    </row>
    <row r="39" spans="2:26" ht="15.95" customHeight="1" thickBot="1" x14ac:dyDescent="0.2">
      <c r="B39" s="71" t="s">
        <v>466</v>
      </c>
      <c r="C39" s="20" t="s">
        <v>4</v>
      </c>
      <c r="D39" s="155">
        <f>IF($J$20=1, O27,Q20)</f>
        <v>2</v>
      </c>
      <c r="E39" s="43" t="s">
        <v>468</v>
      </c>
      <c r="G39" s="698"/>
      <c r="H39" s="698"/>
      <c r="I39" s="698"/>
      <c r="J39" s="698"/>
      <c r="K39" s="699"/>
      <c r="L39" s="81"/>
      <c r="M39" s="81"/>
      <c r="N39" s="24" t="s">
        <v>460</v>
      </c>
      <c r="S39" s="69"/>
      <c r="T39" s="70"/>
    </row>
    <row r="40" spans="2:26" ht="15.95" customHeight="1" x14ac:dyDescent="0.15">
      <c r="B40" s="71" t="s">
        <v>192</v>
      </c>
      <c r="C40" s="20" t="s">
        <v>4</v>
      </c>
      <c r="D40" s="155">
        <f>IF($J$20=1, O28,Q20)</f>
        <v>2</v>
      </c>
      <c r="E40" s="43" t="s">
        <v>468</v>
      </c>
      <c r="F40" s="89"/>
      <c r="G40" s="698"/>
      <c r="H40" s="698"/>
      <c r="I40" s="698"/>
      <c r="J40" s="698"/>
      <c r="K40" s="699"/>
      <c r="L40" s="81"/>
      <c r="M40" s="81"/>
      <c r="N40" s="84" t="s">
        <v>193</v>
      </c>
      <c r="O40" s="151">
        <f t="shared" ref="O40:O45" si="0">IF($J$20=1, O31,R31)</f>
        <v>1671313.4310645724</v>
      </c>
      <c r="P40" s="85" t="s">
        <v>469</v>
      </c>
      <c r="Q40" s="72" t="s">
        <v>350</v>
      </c>
      <c r="R40" s="151">
        <f>IF($J$20=1, O30,R23-R27*2)</f>
        <v>56</v>
      </c>
      <c r="S40" s="85" t="s">
        <v>468</v>
      </c>
      <c r="T40" s="44"/>
      <c r="U40" s="44"/>
    </row>
    <row r="41" spans="2:26" ht="15.95" customHeight="1" x14ac:dyDescent="0.15">
      <c r="B41" s="71" t="s">
        <v>361</v>
      </c>
      <c r="C41" s="20" t="s">
        <v>4</v>
      </c>
      <c r="D41" s="167">
        <f>O40</f>
        <v>1671313.4310645724</v>
      </c>
      <c r="E41" s="43" t="s">
        <v>469</v>
      </c>
      <c r="F41" s="89"/>
      <c r="G41" s="698"/>
      <c r="H41" s="698"/>
      <c r="I41" s="698"/>
      <c r="J41" s="698"/>
      <c r="K41" s="699"/>
      <c r="L41" s="81"/>
      <c r="M41" s="81"/>
      <c r="N41" s="71" t="s">
        <v>194</v>
      </c>
      <c r="O41" s="23">
        <f t="shared" si="0"/>
        <v>462398.66666666663</v>
      </c>
      <c r="P41" s="43" t="s">
        <v>469</v>
      </c>
      <c r="Q41" s="73" t="s">
        <v>351</v>
      </c>
      <c r="R41" s="23">
        <f>IF($J$20=1, O24-2*O26,R24-R26*2)</f>
        <v>116</v>
      </c>
      <c r="S41" s="86" t="s">
        <v>468</v>
      </c>
      <c r="U41" s="44"/>
    </row>
    <row r="42" spans="2:26" ht="15.95" customHeight="1" x14ac:dyDescent="0.15">
      <c r="B42" s="71" t="s">
        <v>362</v>
      </c>
      <c r="C42" s="20" t="s">
        <v>4</v>
      </c>
      <c r="D42" s="167">
        <f>O41</f>
        <v>462398.66666666663</v>
      </c>
      <c r="E42" s="43" t="s">
        <v>469</v>
      </c>
      <c r="F42" s="89"/>
      <c r="G42" s="698"/>
      <c r="H42" s="698"/>
      <c r="I42" s="698"/>
      <c r="J42" s="698"/>
      <c r="K42" s="699"/>
      <c r="L42" s="81"/>
      <c r="M42" s="81"/>
      <c r="N42" s="71" t="s">
        <v>890</v>
      </c>
      <c r="O42" s="23">
        <f t="shared" si="0"/>
        <v>30</v>
      </c>
      <c r="P42" s="43" t="s">
        <v>458</v>
      </c>
      <c r="Q42" s="73" t="s">
        <v>352</v>
      </c>
      <c r="R42" s="23">
        <f>IF($J$20=1, O26,R26)</f>
        <v>2</v>
      </c>
      <c r="S42" s="86" t="s">
        <v>468</v>
      </c>
      <c r="T42" s="90"/>
      <c r="U42" s="44"/>
    </row>
    <row r="43" spans="2:26" ht="15.95" customHeight="1" x14ac:dyDescent="0.15">
      <c r="B43" s="71" t="s">
        <v>890</v>
      </c>
      <c r="C43" s="20" t="s">
        <v>4</v>
      </c>
      <c r="D43" s="173">
        <f>O42</f>
        <v>30</v>
      </c>
      <c r="E43" s="43" t="s">
        <v>458</v>
      </c>
      <c r="F43" s="89"/>
      <c r="G43" s="698"/>
      <c r="H43" s="698"/>
      <c r="I43" s="698"/>
      <c r="J43" s="698"/>
      <c r="K43" s="699"/>
      <c r="L43" s="81"/>
      <c r="M43" s="81"/>
      <c r="N43" s="71" t="s">
        <v>891</v>
      </c>
      <c r="O43" s="23">
        <f t="shared" si="0"/>
        <v>84.109947643979055</v>
      </c>
      <c r="P43" s="43" t="s">
        <v>458</v>
      </c>
      <c r="Q43" s="73" t="s">
        <v>353</v>
      </c>
      <c r="R43" s="158">
        <f>IF($J$20=1, O27,R27)</f>
        <v>2</v>
      </c>
      <c r="S43" s="86" t="s">
        <v>468</v>
      </c>
      <c r="T43" s="90"/>
      <c r="U43" s="44"/>
    </row>
    <row r="44" spans="2:26" ht="15.95" customHeight="1" x14ac:dyDescent="0.15">
      <c r="B44" s="71" t="s">
        <v>360</v>
      </c>
      <c r="C44" s="20" t="s">
        <v>4</v>
      </c>
      <c r="D44" s="167">
        <f t="shared" ref="D44:D45" si="1">O44</f>
        <v>19870.579852681814</v>
      </c>
      <c r="E44" s="43" t="s">
        <v>470</v>
      </c>
      <c r="F44" s="89"/>
      <c r="G44" s="698"/>
      <c r="H44" s="698"/>
      <c r="I44" s="698"/>
      <c r="J44" s="698"/>
      <c r="K44" s="699"/>
      <c r="L44" s="81"/>
      <c r="M44" s="81"/>
      <c r="N44" s="71" t="s">
        <v>195</v>
      </c>
      <c r="O44" s="23">
        <f t="shared" si="0"/>
        <v>19870.579852681814</v>
      </c>
      <c r="P44" s="43" t="s">
        <v>470</v>
      </c>
      <c r="Q44" s="91"/>
      <c r="R44" s="81"/>
      <c r="S44" s="92"/>
      <c r="T44" s="90"/>
      <c r="U44" s="44"/>
    </row>
    <row r="45" spans="2:26" ht="15.95" customHeight="1" thickBot="1" x14ac:dyDescent="0.2">
      <c r="B45" s="87" t="s">
        <v>349</v>
      </c>
      <c r="C45" s="33" t="s">
        <v>4</v>
      </c>
      <c r="D45" s="168">
        <f t="shared" si="1"/>
        <v>1064553.0909090908</v>
      </c>
      <c r="E45" s="153" t="s">
        <v>470</v>
      </c>
      <c r="F45" s="163"/>
      <c r="G45" s="700"/>
      <c r="H45" s="700"/>
      <c r="I45" s="700"/>
      <c r="J45" s="700"/>
      <c r="K45" s="701"/>
      <c r="L45" s="81"/>
      <c r="M45" s="81"/>
      <c r="N45" s="87" t="s">
        <v>349</v>
      </c>
      <c r="O45" s="152">
        <f t="shared" si="0"/>
        <v>1064553.0909090908</v>
      </c>
      <c r="P45" s="153" t="s">
        <v>470</v>
      </c>
      <c r="Q45" s="94"/>
      <c r="R45" s="93"/>
      <c r="S45" s="95"/>
      <c r="T45" s="90"/>
      <c r="U45" s="44"/>
    </row>
    <row r="46" spans="2:26" ht="15.95" customHeight="1" x14ac:dyDescent="0.15">
      <c r="B46" s="708" t="s">
        <v>1000</v>
      </c>
      <c r="C46" s="708"/>
      <c r="D46" s="708"/>
      <c r="E46" s="708"/>
      <c r="F46" s="708"/>
      <c r="G46" s="708"/>
      <c r="H46" s="708"/>
      <c r="I46" s="708"/>
      <c r="J46" s="708"/>
      <c r="K46" s="708"/>
      <c r="L46" s="81"/>
      <c r="M46" s="81"/>
    </row>
    <row r="47" spans="2:26" s="47" customFormat="1" ht="15.95" hidden="1" customHeight="1" x14ac:dyDescent="0.15">
      <c r="B47" s="77" t="s">
        <v>84</v>
      </c>
    </row>
    <row r="48" spans="2:26" s="47" customFormat="1" ht="15.95" hidden="1" customHeight="1" x14ac:dyDescent="0.15"/>
    <row r="49" spans="1:9" s="47" customFormat="1" ht="15.95" hidden="1" customHeight="1" x14ac:dyDescent="0.15">
      <c r="B49" s="46"/>
    </row>
    <row r="50" spans="1:9" s="47" customFormat="1" ht="15.95" hidden="1" customHeight="1" x14ac:dyDescent="0.15">
      <c r="A50" s="48"/>
    </row>
    <row r="51" spans="1:9" s="47" customFormat="1" ht="15.95" hidden="1" customHeight="1" x14ac:dyDescent="0.15">
      <c r="A51" s="48"/>
    </row>
    <row r="52" spans="1:9" s="47" customFormat="1" ht="15.95" hidden="1" customHeight="1" x14ac:dyDescent="0.15">
      <c r="A52" s="48"/>
    </row>
    <row r="53" spans="1:9" s="47" customFormat="1" ht="15.95" hidden="1" customHeight="1" x14ac:dyDescent="0.15">
      <c r="A53" s="48"/>
    </row>
    <row r="54" spans="1:9" s="47" customFormat="1" ht="15.95" hidden="1" customHeight="1" x14ac:dyDescent="0.15">
      <c r="A54" s="48"/>
    </row>
    <row r="55" spans="1:9" s="47" customFormat="1" ht="15.95" hidden="1" customHeight="1" x14ac:dyDescent="0.15">
      <c r="A55" s="48"/>
    </row>
    <row r="56" spans="1:9" s="47" customFormat="1" ht="15.95" hidden="1" customHeight="1" x14ac:dyDescent="0.15">
      <c r="A56" s="48"/>
    </row>
    <row r="57" spans="1:9" s="47" customFormat="1" ht="15.95" hidden="1" customHeight="1" x14ac:dyDescent="0.15">
      <c r="A57" s="48"/>
    </row>
    <row r="58" spans="1:9" s="47" customFormat="1" ht="15.95" hidden="1" customHeight="1" x14ac:dyDescent="0.15">
      <c r="A58" s="48"/>
      <c r="D58" s="36"/>
    </row>
    <row r="59" spans="1:9" s="47" customFormat="1" ht="15.95" hidden="1" customHeight="1" x14ac:dyDescent="0.15">
      <c r="B59" s="24" t="s">
        <v>91</v>
      </c>
    </row>
    <row r="60" spans="1:9" s="47" customFormat="1" ht="15.95" hidden="1" customHeight="1" x14ac:dyDescent="0.15"/>
    <row r="61" spans="1:9" s="47" customFormat="1" ht="15.95" hidden="1" customHeight="1" x14ac:dyDescent="0.15">
      <c r="B61" s="36" t="s">
        <v>7</v>
      </c>
      <c r="C61" s="20" t="s">
        <v>4</v>
      </c>
      <c r="D61" s="36" t="s">
        <v>373</v>
      </c>
    </row>
    <row r="62" spans="1:9" s="47" customFormat="1" ht="15.95" hidden="1" customHeight="1" x14ac:dyDescent="0.15">
      <c r="B62" s="98" t="s">
        <v>8</v>
      </c>
      <c r="C62" s="20" t="s">
        <v>4</v>
      </c>
      <c r="D62" s="36" t="s">
        <v>374</v>
      </c>
      <c r="G62" s="20"/>
      <c r="H62" s="36"/>
    </row>
    <row r="63" spans="1:9" s="47" customFormat="1" ht="15.95" hidden="1" customHeight="1" x14ac:dyDescent="0.15">
      <c r="B63" s="36" t="s">
        <v>85</v>
      </c>
      <c r="C63" s="20" t="s">
        <v>4</v>
      </c>
      <c r="D63" s="36" t="s">
        <v>375</v>
      </c>
      <c r="G63" s="20"/>
    </row>
    <row r="64" spans="1:9" s="47" customFormat="1" ht="15.95" hidden="1" customHeight="1" x14ac:dyDescent="0.15">
      <c r="B64" s="36" t="s">
        <v>86</v>
      </c>
      <c r="C64" s="20" t="s">
        <v>4</v>
      </c>
      <c r="D64" s="36" t="s">
        <v>376</v>
      </c>
      <c r="G64" s="20"/>
      <c r="H64" s="20"/>
      <c r="I64" s="36"/>
    </row>
    <row r="65" spans="1:13" s="47" customFormat="1" ht="15.95" hidden="1" customHeight="1" x14ac:dyDescent="0.15">
      <c r="B65" s="36" t="s">
        <v>372</v>
      </c>
      <c r="C65" s="20" t="s">
        <v>4</v>
      </c>
      <c r="D65" s="36" t="s">
        <v>380</v>
      </c>
      <c r="G65" s="20" t="s">
        <v>9</v>
      </c>
      <c r="H65" s="36" t="s">
        <v>101</v>
      </c>
    </row>
    <row r="66" spans="1:13" s="47" customFormat="1" ht="15.95" hidden="1" customHeight="1" x14ac:dyDescent="0.15">
      <c r="B66" s="36" t="s">
        <v>87</v>
      </c>
      <c r="C66" s="20" t="s">
        <v>4</v>
      </c>
      <c r="D66" s="36" t="s">
        <v>377</v>
      </c>
      <c r="F66" s="48"/>
      <c r="G66" s="20" t="s">
        <v>9</v>
      </c>
      <c r="H66" s="36" t="s">
        <v>102</v>
      </c>
    </row>
    <row r="67" spans="1:13" s="47" customFormat="1" ht="15.95" hidden="1" customHeight="1" x14ac:dyDescent="0.15">
      <c r="B67" s="78" t="s">
        <v>120</v>
      </c>
      <c r="C67" s="20" t="s">
        <v>4</v>
      </c>
      <c r="D67" s="36" t="s">
        <v>381</v>
      </c>
      <c r="F67" s="48"/>
      <c r="H67" s="36" t="s">
        <v>103</v>
      </c>
    </row>
    <row r="68" spans="1:13" s="47" customFormat="1" ht="15.95" hidden="1" customHeight="1" x14ac:dyDescent="0.15"/>
    <row r="69" spans="1:13" s="47" customFormat="1" ht="15.95" hidden="1" customHeight="1" x14ac:dyDescent="0.15">
      <c r="A69" s="48"/>
      <c r="B69" s="24" t="s">
        <v>92</v>
      </c>
    </row>
    <row r="70" spans="1:13" s="47" customFormat="1" ht="15.95" hidden="1" customHeight="1" x14ac:dyDescent="0.15">
      <c r="H70" s="36"/>
    </row>
    <row r="71" spans="1:13" s="47" customFormat="1" ht="15.95" hidden="1" customHeight="1" x14ac:dyDescent="0.15">
      <c r="B71" s="78" t="s">
        <v>1052</v>
      </c>
      <c r="C71" s="37" t="s">
        <v>4</v>
      </c>
      <c r="D71" s="79">
        <f>0.65*ABS(D5/1000*(D7+D8)/2)</f>
        <v>0</v>
      </c>
      <c r="E71" s="24" t="s">
        <v>477</v>
      </c>
      <c r="F71" s="24"/>
      <c r="G71" s="20" t="s">
        <v>9</v>
      </c>
      <c r="H71" s="36" t="s">
        <v>382</v>
      </c>
    </row>
    <row r="72" spans="1:13" s="47" customFormat="1" ht="15.95" hidden="1" customHeight="1" x14ac:dyDescent="0.15">
      <c r="B72" s="78" t="s">
        <v>1054</v>
      </c>
      <c r="C72" s="37" t="s">
        <v>4</v>
      </c>
      <c r="D72" s="79">
        <f>D71</f>
        <v>0</v>
      </c>
      <c r="E72" s="24" t="s">
        <v>477</v>
      </c>
      <c r="F72" s="24"/>
      <c r="G72" s="20" t="s">
        <v>9</v>
      </c>
      <c r="H72" s="36" t="s">
        <v>382</v>
      </c>
      <c r="M72" s="36"/>
    </row>
    <row r="73" spans="1:13" s="47" customFormat="1" ht="15.95" hidden="1" customHeight="1" x14ac:dyDescent="0.15">
      <c r="B73" s="98" t="s">
        <v>378</v>
      </c>
      <c r="C73" s="37" t="s">
        <v>4</v>
      </c>
      <c r="D73" s="172">
        <f>D9</f>
        <v>1000</v>
      </c>
      <c r="E73" s="43" t="s">
        <v>458</v>
      </c>
      <c r="F73" s="24"/>
      <c r="G73" s="20" t="s">
        <v>9</v>
      </c>
      <c r="H73" s="36" t="s">
        <v>402</v>
      </c>
      <c r="M73" s="36"/>
    </row>
    <row r="74" spans="1:13" s="47" customFormat="1" ht="15.95" hidden="1" customHeight="1" x14ac:dyDescent="0.15">
      <c r="B74" s="98" t="s">
        <v>379</v>
      </c>
      <c r="C74" s="37" t="s">
        <v>4</v>
      </c>
      <c r="D74" s="172">
        <f>D10</f>
        <v>4000</v>
      </c>
      <c r="E74" s="43" t="s">
        <v>458</v>
      </c>
      <c r="F74" s="24"/>
      <c r="G74" s="20" t="s">
        <v>9</v>
      </c>
      <c r="H74" s="36" t="s">
        <v>403</v>
      </c>
      <c r="J74" s="52"/>
      <c r="K74" s="37"/>
      <c r="L74" s="75"/>
      <c r="M74" s="48"/>
    </row>
    <row r="75" spans="1:13" s="47" customFormat="1" ht="15.95" hidden="1" customHeight="1" x14ac:dyDescent="0.15">
      <c r="B75" s="36" t="s">
        <v>7</v>
      </c>
      <c r="C75" s="37" t="s">
        <v>4</v>
      </c>
      <c r="D75" s="109">
        <f>D71*D9+D72*D10</f>
        <v>0</v>
      </c>
      <c r="E75" s="24" t="s">
        <v>495</v>
      </c>
      <c r="F75" s="24"/>
      <c r="G75" s="20"/>
      <c r="H75" s="36"/>
    </row>
    <row r="76" spans="1:13" s="47" customFormat="1" ht="15.95" hidden="1" customHeight="1" x14ac:dyDescent="0.15">
      <c r="B76" s="36" t="s">
        <v>8</v>
      </c>
      <c r="C76" s="37" t="s">
        <v>4</v>
      </c>
      <c r="D76" s="34">
        <f>(D78*D73)/(D78*D74)</f>
        <v>0.25</v>
      </c>
      <c r="E76" s="24"/>
      <c r="F76" s="24"/>
      <c r="G76" s="20"/>
    </row>
    <row r="77" spans="1:13" s="47" customFormat="1" ht="15.95" hidden="1" customHeight="1" x14ac:dyDescent="0.15">
      <c r="B77" s="78" t="s">
        <v>5</v>
      </c>
      <c r="C77" s="37" t="s">
        <v>4</v>
      </c>
      <c r="D77" s="172">
        <f>D6</f>
        <v>69637.021649999995</v>
      </c>
      <c r="E77" s="43" t="s">
        <v>457</v>
      </c>
      <c r="G77" s="20" t="s">
        <v>9</v>
      </c>
      <c r="H77" s="36" t="s">
        <v>95</v>
      </c>
    </row>
    <row r="78" spans="1:13" s="47" customFormat="1" ht="15.95" hidden="1" customHeight="1" x14ac:dyDescent="0.15">
      <c r="B78" s="78" t="s">
        <v>493</v>
      </c>
      <c r="C78" s="37" t="s">
        <v>4</v>
      </c>
      <c r="D78" s="172">
        <f>D41</f>
        <v>1671313.4310645724</v>
      </c>
      <c r="E78" s="24" t="s">
        <v>494</v>
      </c>
      <c r="G78" s="20" t="s">
        <v>9</v>
      </c>
      <c r="H78" s="36" t="s">
        <v>96</v>
      </c>
    </row>
    <row r="79" spans="1:13" s="47" customFormat="1" ht="15.95" hidden="1" customHeight="1" x14ac:dyDescent="0.15">
      <c r="F79" s="47" t="s">
        <v>0</v>
      </c>
    </row>
    <row r="80" spans="1:13" s="47" customFormat="1" ht="15.95" hidden="1" customHeight="1" x14ac:dyDescent="0.15">
      <c r="A80" s="123"/>
      <c r="B80" s="24" t="s">
        <v>104</v>
      </c>
    </row>
    <row r="81" spans="1:26" s="47" customFormat="1" ht="15.95" hidden="1" customHeight="1" x14ac:dyDescent="0.15"/>
    <row r="82" spans="1:26" s="47" customFormat="1" ht="15.95" hidden="1" customHeight="1" x14ac:dyDescent="0.15">
      <c r="A82" s="47" t="s">
        <v>1</v>
      </c>
      <c r="B82" s="36" t="s">
        <v>85</v>
      </c>
      <c r="C82" s="37" t="s">
        <v>4</v>
      </c>
      <c r="D82" s="36" t="s">
        <v>375</v>
      </c>
      <c r="H82" s="46"/>
    </row>
    <row r="83" spans="1:26" s="47" customFormat="1" ht="15.95" hidden="1" customHeight="1" x14ac:dyDescent="0.15">
      <c r="B83" s="48"/>
      <c r="C83" s="37" t="s">
        <v>4</v>
      </c>
      <c r="D83" s="172">
        <f>(D71*D73)/2-(D76*D71*D73^2+D72*D74^2)/(8*(1+D76)*D73)</f>
        <v>0</v>
      </c>
      <c r="E83" s="24" t="s">
        <v>495</v>
      </c>
    </row>
    <row r="84" spans="1:26" s="47" customFormat="1" ht="15.95" hidden="1" customHeight="1" x14ac:dyDescent="0.15">
      <c r="B84" s="36" t="s">
        <v>86</v>
      </c>
      <c r="C84" s="37" t="s">
        <v>4</v>
      </c>
      <c r="D84" s="36" t="s">
        <v>376</v>
      </c>
      <c r="H84" s="46"/>
    </row>
    <row r="85" spans="1:26" s="47" customFormat="1" ht="15.95" hidden="1" customHeight="1" x14ac:dyDescent="0.15">
      <c r="B85" s="48"/>
      <c r="C85" s="37" t="s">
        <v>4</v>
      </c>
      <c r="D85" s="172">
        <f>(D72*D74)/2-(D76*D71*D73^2+D72*D74^2)/(8*(1+D76)*D74)</f>
        <v>0</v>
      </c>
      <c r="E85" s="24" t="s">
        <v>495</v>
      </c>
    </row>
    <row r="86" spans="1:26" s="47" customFormat="1" ht="15.95" hidden="1" customHeight="1" x14ac:dyDescent="0.15">
      <c r="B86" s="36" t="s">
        <v>372</v>
      </c>
      <c r="C86" s="37" t="s">
        <v>4</v>
      </c>
      <c r="D86" s="36" t="s">
        <v>380</v>
      </c>
      <c r="H86" s="46"/>
    </row>
    <row r="87" spans="1:26" s="47" customFormat="1" ht="15.95" hidden="1" customHeight="1" x14ac:dyDescent="0.15">
      <c r="B87" s="48"/>
      <c r="C87" s="37" t="s">
        <v>4</v>
      </c>
      <c r="D87" s="172">
        <f>D75-D83-D85</f>
        <v>0</v>
      </c>
      <c r="E87" s="24" t="s">
        <v>495</v>
      </c>
      <c r="J87" s="43"/>
    </row>
    <row r="88" spans="1:26" s="47" customFormat="1" ht="15.95" hidden="1" customHeight="1" x14ac:dyDescent="0.15">
      <c r="B88" s="36" t="s">
        <v>87</v>
      </c>
      <c r="C88" s="37" t="s">
        <v>4</v>
      </c>
      <c r="D88" s="36" t="s">
        <v>377</v>
      </c>
      <c r="H88" s="46"/>
      <c r="J88" s="24"/>
      <c r="P88" s="12" t="s">
        <v>1047</v>
      </c>
      <c r="Q88" s="172">
        <v>2616250</v>
      </c>
      <c r="R88" s="43" t="s">
        <v>497</v>
      </c>
    </row>
    <row r="89" spans="1:26" s="47" customFormat="1" ht="15.95" hidden="1" customHeight="1" x14ac:dyDescent="0.15">
      <c r="C89" s="37" t="s">
        <v>4</v>
      </c>
      <c r="D89" s="172">
        <f>(D76*D71*D73^2+D72*D74^2)/(8*(1+D76))</f>
        <v>0</v>
      </c>
      <c r="E89" s="43" t="s">
        <v>497</v>
      </c>
      <c r="J89" s="24"/>
      <c r="P89" s="12" t="s">
        <v>647</v>
      </c>
      <c r="Q89" s="334">
        <f>D89/Q88</f>
        <v>0</v>
      </c>
      <c r="R89" s="12"/>
    </row>
    <row r="90" spans="1:26" s="47" customFormat="1" ht="15.95" hidden="1" customHeight="1" x14ac:dyDescent="0.15">
      <c r="B90" s="78" t="s">
        <v>120</v>
      </c>
      <c r="C90" s="37" t="s">
        <v>4</v>
      </c>
      <c r="D90" s="36" t="s">
        <v>383</v>
      </c>
      <c r="H90" s="46"/>
      <c r="J90" s="43"/>
      <c r="P90" s="12" t="s">
        <v>646</v>
      </c>
      <c r="Q90" s="332">
        <v>24.02</v>
      </c>
      <c r="R90" s="43" t="s">
        <v>648</v>
      </c>
    </row>
    <row r="91" spans="1:26" s="47" customFormat="1" ht="15.95" hidden="1" customHeight="1" x14ac:dyDescent="0.15">
      <c r="B91" s="124"/>
      <c r="C91" s="37" t="s">
        <v>4</v>
      </c>
      <c r="D91" s="79">
        <f>((5*D72*D74^4/(384*D77*D78))-(D89*D74^2/(16*D77*D78)))</f>
        <v>0</v>
      </c>
      <c r="E91" s="43" t="s">
        <v>496</v>
      </c>
      <c r="P91" s="12" t="s">
        <v>647</v>
      </c>
      <c r="Q91" s="334">
        <f>D91/Q90</f>
        <v>0</v>
      </c>
      <c r="R91" s="12"/>
    </row>
    <row r="92" spans="1:26" s="47" customFormat="1" ht="15.95" hidden="1" customHeight="1" x14ac:dyDescent="0.15">
      <c r="B92" s="124"/>
      <c r="C92" s="37"/>
    </row>
    <row r="93" spans="1:26" ht="15.95" hidden="1" customHeight="1" x14ac:dyDescent="0.15">
      <c r="A93" s="43"/>
      <c r="B93" s="77" t="s">
        <v>144</v>
      </c>
      <c r="C93" s="43"/>
      <c r="D93" s="43"/>
      <c r="E93" s="43"/>
      <c r="F93" s="43"/>
      <c r="G93" s="43"/>
      <c r="H93" s="43"/>
      <c r="I93" s="43"/>
      <c r="J93" s="43"/>
      <c r="K93" s="43"/>
      <c r="L93" s="43"/>
      <c r="N93" s="45" t="s">
        <v>355</v>
      </c>
      <c r="O93" s="361">
        <f>G6</f>
        <v>5</v>
      </c>
      <c r="P93" s="46"/>
    </row>
    <row r="94" spans="1:26" s="47" customFormat="1" ht="15.95" hidden="1" customHeight="1" x14ac:dyDescent="0.15">
      <c r="J94" s="48"/>
      <c r="K94" s="37"/>
      <c r="L94" s="48"/>
      <c r="M94" s="48"/>
      <c r="N94" s="37"/>
      <c r="O94" s="37"/>
      <c r="P94" s="37"/>
      <c r="V94" s="52"/>
      <c r="X94" s="52"/>
      <c r="Z94" s="52"/>
    </row>
    <row r="95" spans="1:26" s="47" customFormat="1" ht="15.95" hidden="1" customHeight="1" x14ac:dyDescent="0.15">
      <c r="A95" s="24"/>
      <c r="B95" s="49" t="s">
        <v>289</v>
      </c>
      <c r="C95" s="49"/>
      <c r="G95" s="50" t="s">
        <v>290</v>
      </c>
      <c r="H95" s="101"/>
      <c r="I95" s="43"/>
      <c r="J95" s="102"/>
      <c r="K95" s="51"/>
      <c r="L95" s="24"/>
      <c r="M95" s="24"/>
      <c r="N95" s="52" t="s">
        <v>291</v>
      </c>
      <c r="O95" s="360">
        <v>14</v>
      </c>
      <c r="P95" s="24"/>
      <c r="S95" s="24"/>
      <c r="V95" s="52"/>
      <c r="X95" s="52"/>
      <c r="Z95" s="52"/>
    </row>
    <row r="96" spans="1:26" s="47" customFormat="1" ht="15.95" hidden="1" customHeight="1" x14ac:dyDescent="0.15">
      <c r="A96" s="24"/>
      <c r="B96" s="49"/>
      <c r="C96" s="24"/>
      <c r="D96" s="24"/>
      <c r="E96" s="24"/>
      <c r="G96" s="37"/>
      <c r="I96" s="24"/>
      <c r="J96" s="49"/>
      <c r="K96" s="38"/>
      <c r="L96" s="24"/>
      <c r="M96" s="38" t="s">
        <v>292</v>
      </c>
      <c r="N96" s="103">
        <v>5</v>
      </c>
      <c r="O96" s="103">
        <v>6</v>
      </c>
      <c r="Q96" s="702" t="s">
        <v>293</v>
      </c>
      <c r="R96" s="703"/>
      <c r="S96" s="704" t="s">
        <v>328</v>
      </c>
      <c r="T96" s="705"/>
      <c r="U96" s="706"/>
      <c r="V96" s="52"/>
      <c r="X96" s="52"/>
      <c r="Z96" s="52"/>
    </row>
    <row r="97" spans="1:26" s="47" customFormat="1" ht="15.95" hidden="1" customHeight="1" x14ac:dyDescent="0.15">
      <c r="A97" s="24"/>
      <c r="B97" s="36" t="s">
        <v>344</v>
      </c>
      <c r="C97" s="20" t="s">
        <v>4</v>
      </c>
      <c r="D97" s="176">
        <f>D11</f>
        <v>2600</v>
      </c>
      <c r="E97" s="29" t="s">
        <v>479</v>
      </c>
      <c r="F97" s="24"/>
      <c r="G97" s="36" t="s">
        <v>294</v>
      </c>
      <c r="H97" s="20" t="s">
        <v>295</v>
      </c>
      <c r="I97" s="155">
        <f>2*D97*D99/(SQRT(D98*D100))</f>
        <v>147.27259356576931</v>
      </c>
      <c r="K97" s="38"/>
      <c r="L97" s="24"/>
      <c r="M97" s="24"/>
      <c r="N97" s="53">
        <v>0</v>
      </c>
      <c r="O97" s="53">
        <v>0</v>
      </c>
      <c r="P97" s="37" t="s">
        <v>296</v>
      </c>
      <c r="Q97" s="54" t="s">
        <v>297</v>
      </c>
      <c r="R97" s="55" t="s">
        <v>298</v>
      </c>
      <c r="S97" s="55">
        <v>1</v>
      </c>
      <c r="T97" s="56">
        <f>IF(O93=5, N97, O97)</f>
        <v>0</v>
      </c>
      <c r="U97" s="55" t="str">
        <f>P97</f>
        <v>S  ≤  S₁</v>
      </c>
      <c r="V97" s="52"/>
      <c r="X97" s="52"/>
      <c r="Z97" s="52"/>
    </row>
    <row r="98" spans="1:26" s="47" customFormat="1" ht="15.95" hidden="1" customHeight="1" x14ac:dyDescent="0.15">
      <c r="A98" s="24"/>
      <c r="B98" s="36" t="s">
        <v>299</v>
      </c>
      <c r="C98" s="20" t="s">
        <v>4</v>
      </c>
      <c r="D98" s="176">
        <f>D42</f>
        <v>462398.66666666663</v>
      </c>
      <c r="E98" s="29" t="s">
        <v>475</v>
      </c>
      <c r="F98" s="24"/>
      <c r="G98" s="57" t="s">
        <v>300</v>
      </c>
      <c r="H98" s="38"/>
      <c r="I98" s="38"/>
      <c r="J98" s="52"/>
      <c r="K98" s="38"/>
      <c r="L98" s="24"/>
      <c r="M98" s="24"/>
      <c r="N98" s="58">
        <v>0</v>
      </c>
      <c r="O98" s="58">
        <v>0</v>
      </c>
      <c r="P98" s="37" t="s">
        <v>301</v>
      </c>
      <c r="Q98" s="59">
        <f>IF(O93=5, N98,O98)</f>
        <v>0</v>
      </c>
      <c r="R98" s="60">
        <f>IF(O93=5,N100,O100)</f>
        <v>3823</v>
      </c>
      <c r="S98" s="62">
        <v>2</v>
      </c>
      <c r="T98" s="61">
        <f>IF(O93=5, N99, O99)</f>
        <v>9.6505085589175899</v>
      </c>
      <c r="U98" s="62" t="str">
        <f>P99</f>
        <v>S₁&lt;  S  &lt; S₂</v>
      </c>
      <c r="V98" s="52"/>
      <c r="X98" s="52"/>
      <c r="Z98" s="52"/>
    </row>
    <row r="99" spans="1:26" s="47" customFormat="1" ht="15.95" hidden="1" customHeight="1" x14ac:dyDescent="0.15">
      <c r="B99" s="36" t="s">
        <v>134</v>
      </c>
      <c r="C99" s="20" t="s">
        <v>4</v>
      </c>
      <c r="D99" s="176">
        <f>D44</f>
        <v>19870.579852681814</v>
      </c>
      <c r="E99" s="29" t="s">
        <v>471</v>
      </c>
      <c r="G99" s="36" t="str">
        <f>U101</f>
        <v>S₁&lt;  S  &lt; S₂</v>
      </c>
      <c r="J99" s="24"/>
      <c r="K99" s="38"/>
      <c r="L99" s="24"/>
      <c r="M99" s="24"/>
      <c r="N99" s="58">
        <f>10.5-0.07*SQRT(I97)</f>
        <v>9.6505085589175899</v>
      </c>
      <c r="O99" s="58">
        <f>16.7-0.14*SQRT(I97)</f>
        <v>15.001017117835179</v>
      </c>
      <c r="P99" s="37" t="s">
        <v>302</v>
      </c>
      <c r="Q99" s="104" t="s">
        <v>303</v>
      </c>
      <c r="S99" s="60">
        <v>3</v>
      </c>
      <c r="T99" s="63">
        <f>IF(O93=5, N101, O101)</f>
        <v>160.24026893680735</v>
      </c>
      <c r="U99" s="60" t="str">
        <f>P101</f>
        <v>S  ≥  S₂</v>
      </c>
      <c r="V99" s="52"/>
      <c r="X99" s="52"/>
      <c r="Z99" s="52"/>
    </row>
    <row r="100" spans="1:26" s="47" customFormat="1" ht="15.95" hidden="1" customHeight="1" thickBot="1" x14ac:dyDescent="0.2">
      <c r="A100" s="24"/>
      <c r="B100" s="36" t="s">
        <v>304</v>
      </c>
      <c r="C100" s="20" t="s">
        <v>4</v>
      </c>
      <c r="D100" s="176">
        <f>D45</f>
        <v>1064553.0909090908</v>
      </c>
      <c r="E100" s="29" t="s">
        <v>475</v>
      </c>
      <c r="F100" s="38"/>
      <c r="H100" s="38"/>
      <c r="I100" s="24"/>
      <c r="J100" s="24"/>
      <c r="K100" s="24"/>
      <c r="L100" s="24"/>
      <c r="M100" s="24"/>
      <c r="N100" s="58">
        <v>3823</v>
      </c>
      <c r="O100" s="58">
        <v>2400</v>
      </c>
      <c r="P100" s="37" t="s">
        <v>306</v>
      </c>
      <c r="Q100" s="55" t="s">
        <v>307</v>
      </c>
      <c r="V100" s="52"/>
      <c r="X100" s="52"/>
      <c r="Z100" s="52"/>
    </row>
    <row r="101" spans="1:26" s="47" customFormat="1" ht="15.95" hidden="1" customHeight="1" thickBot="1" x14ac:dyDescent="0.2">
      <c r="A101" s="24"/>
      <c r="B101" s="36" t="s">
        <v>308</v>
      </c>
      <c r="C101" s="20" t="s">
        <v>4</v>
      </c>
      <c r="D101" s="24">
        <f>T101</f>
        <v>9.6505085589175899</v>
      </c>
      <c r="E101" s="29" t="s">
        <v>187</v>
      </c>
      <c r="F101" s="38"/>
      <c r="K101" s="24"/>
      <c r="L101" s="24"/>
      <c r="M101" s="24"/>
      <c r="N101" s="64">
        <f>23599/I97</f>
        <v>160.24026893680735</v>
      </c>
      <c r="O101" s="64">
        <f>23599/I97</f>
        <v>160.24026893680735</v>
      </c>
      <c r="P101" s="37" t="s">
        <v>309</v>
      </c>
      <c r="Q101" s="60">
        <f>I97</f>
        <v>147.27259356576931</v>
      </c>
      <c r="S101" s="105">
        <f>IF(Q101&lt;=Q98,1,IF(AND(Q101&gt;Q98,Q101&lt;R98),2,3))</f>
        <v>2</v>
      </c>
      <c r="T101" s="65">
        <f>VLOOKUP(S101, S97:T99, 2, FALSE)</f>
        <v>9.6505085589175899</v>
      </c>
      <c r="U101" s="66" t="str">
        <f>VLOOKUP(S101,S97:U99, 3, FALSE)</f>
        <v>S₁&lt;  S  &lt; S₂</v>
      </c>
      <c r="V101" s="52"/>
      <c r="X101" s="52"/>
      <c r="Z101" s="52"/>
    </row>
    <row r="102" spans="1:26" s="47" customFormat="1" ht="15.95" hidden="1" customHeight="1" x14ac:dyDescent="0.15">
      <c r="A102" s="24"/>
      <c r="C102" s="20" t="s">
        <v>4</v>
      </c>
      <c r="D102" s="29">
        <f>D101*6.894757</f>
        <v>66.537911440156961</v>
      </c>
      <c r="E102" s="29" t="s">
        <v>457</v>
      </c>
      <c r="F102" s="38"/>
      <c r="G102" s="38"/>
      <c r="H102" s="38"/>
      <c r="I102" s="24"/>
      <c r="J102" s="24"/>
      <c r="K102" s="24"/>
      <c r="L102" s="24"/>
      <c r="M102" s="24"/>
      <c r="V102" s="52"/>
      <c r="X102" s="52"/>
      <c r="Z102" s="52"/>
    </row>
    <row r="103" spans="1:26" s="47" customFormat="1" ht="15.95" hidden="1" customHeight="1" x14ac:dyDescent="0.15">
      <c r="A103" s="24"/>
      <c r="C103" s="20"/>
      <c r="D103" s="29"/>
      <c r="E103" s="29"/>
      <c r="F103" s="38"/>
      <c r="G103" s="38"/>
      <c r="H103" s="38"/>
      <c r="I103" s="24"/>
      <c r="J103" s="24"/>
      <c r="K103" s="24"/>
      <c r="L103" s="24"/>
      <c r="M103" s="24"/>
      <c r="V103" s="52"/>
      <c r="X103" s="52"/>
      <c r="Z103" s="52"/>
    </row>
    <row r="104" spans="1:26" s="47" customFormat="1" ht="15.95" hidden="1" customHeight="1" x14ac:dyDescent="0.15">
      <c r="A104" s="24"/>
      <c r="B104" s="49" t="s">
        <v>310</v>
      </c>
      <c r="C104" s="49"/>
      <c r="D104" s="156"/>
      <c r="E104" s="156"/>
      <c r="G104" s="50" t="s">
        <v>311</v>
      </c>
      <c r="H104" s="101"/>
      <c r="I104" s="38"/>
      <c r="J104" s="102"/>
      <c r="K104" s="24"/>
      <c r="L104" s="24"/>
      <c r="M104" s="24"/>
      <c r="N104" s="52" t="s">
        <v>291</v>
      </c>
      <c r="O104" s="360">
        <v>16</v>
      </c>
      <c r="P104" s="24"/>
      <c r="S104" s="24"/>
      <c r="V104" s="52"/>
      <c r="X104" s="52"/>
      <c r="Z104" s="52"/>
    </row>
    <row r="105" spans="1:26" s="47" customFormat="1" ht="15.95" hidden="1" customHeight="1" x14ac:dyDescent="0.15">
      <c r="A105" s="24"/>
      <c r="B105" s="49"/>
      <c r="C105" s="49"/>
      <c r="D105" s="156"/>
      <c r="E105" s="156"/>
      <c r="F105" s="49"/>
      <c r="G105" s="49"/>
      <c r="H105" s="49"/>
      <c r="I105" s="24"/>
      <c r="J105" s="49"/>
      <c r="K105" s="24"/>
      <c r="L105" s="24"/>
      <c r="M105" s="38" t="s">
        <v>292</v>
      </c>
      <c r="N105" s="103">
        <v>5</v>
      </c>
      <c r="O105" s="103">
        <v>6</v>
      </c>
      <c r="Q105" s="702" t="s">
        <v>293</v>
      </c>
      <c r="R105" s="703"/>
      <c r="S105" s="704" t="s">
        <v>328</v>
      </c>
      <c r="T105" s="705"/>
      <c r="U105" s="706"/>
      <c r="V105" s="52"/>
      <c r="X105" s="52"/>
      <c r="Z105" s="52"/>
    </row>
    <row r="106" spans="1:26" s="47" customFormat="1" ht="15.95" hidden="1" customHeight="1" x14ac:dyDescent="0.15">
      <c r="A106" s="24"/>
      <c r="B106" s="36" t="s">
        <v>77</v>
      </c>
      <c r="C106" s="20" t="s">
        <v>4</v>
      </c>
      <c r="D106" s="23">
        <f>R40</f>
        <v>56</v>
      </c>
      <c r="E106" s="29" t="s">
        <v>479</v>
      </c>
      <c r="F106" s="24"/>
      <c r="G106" s="36" t="str">
        <f>U110</f>
        <v>S₁&lt;  S  &lt; S₂</v>
      </c>
      <c r="K106" s="24"/>
      <c r="L106" s="24"/>
      <c r="M106" s="24"/>
      <c r="N106" s="53">
        <v>9.6999999999999993</v>
      </c>
      <c r="O106" s="53">
        <v>15.2</v>
      </c>
      <c r="P106" s="37" t="s">
        <v>296</v>
      </c>
      <c r="Q106" s="54" t="s">
        <v>297</v>
      </c>
      <c r="R106" s="55" t="s">
        <v>298</v>
      </c>
      <c r="S106" s="55">
        <v>1</v>
      </c>
      <c r="T106" s="56">
        <f>IF(O93=5, N106, O106)</f>
        <v>9.6999999999999993</v>
      </c>
      <c r="U106" s="55" t="str">
        <f>P106</f>
        <v>S  ≤  S₁</v>
      </c>
      <c r="V106" s="52"/>
      <c r="X106" s="52"/>
      <c r="Z106" s="52"/>
    </row>
    <row r="107" spans="1:26" s="47" customFormat="1" ht="15.95" hidden="1" customHeight="1" x14ac:dyDescent="0.15">
      <c r="A107" s="24"/>
      <c r="B107" s="36" t="s">
        <v>333</v>
      </c>
      <c r="C107" s="20" t="s">
        <v>4</v>
      </c>
      <c r="D107" s="23">
        <f>R42</f>
        <v>2</v>
      </c>
      <c r="E107" s="29" t="s">
        <v>479</v>
      </c>
      <c r="G107" s="24"/>
      <c r="H107" s="24"/>
      <c r="I107" s="24"/>
      <c r="J107" s="24"/>
      <c r="K107" s="24"/>
      <c r="L107" s="24"/>
      <c r="M107" s="24"/>
      <c r="N107" s="58">
        <v>25.6</v>
      </c>
      <c r="O107" s="58">
        <v>22.8</v>
      </c>
      <c r="P107" s="37" t="s">
        <v>301</v>
      </c>
      <c r="Q107" s="59">
        <f>IF(O93=5, N107,O107)</f>
        <v>25.6</v>
      </c>
      <c r="R107" s="60">
        <f>IF(O93=5,N109,O109)</f>
        <v>50</v>
      </c>
      <c r="S107" s="62">
        <v>2</v>
      </c>
      <c r="T107" s="61">
        <f>IF(O93=5, N108, O108)</f>
        <v>9.4760000000000009</v>
      </c>
      <c r="U107" s="62" t="str">
        <f>P108</f>
        <v>S₁&lt;  S  &lt; S₂</v>
      </c>
      <c r="V107" s="52"/>
      <c r="X107" s="52"/>
      <c r="Z107" s="52"/>
    </row>
    <row r="108" spans="1:26" s="47" customFormat="1" ht="15.95" hidden="1" customHeight="1" x14ac:dyDescent="0.15">
      <c r="A108" s="24"/>
      <c r="B108" s="36" t="s">
        <v>356</v>
      </c>
      <c r="C108" s="20" t="s">
        <v>4</v>
      </c>
      <c r="D108" s="23">
        <f>D106/D107</f>
        <v>28</v>
      </c>
      <c r="E108" s="29"/>
      <c r="F108" s="24"/>
      <c r="H108" s="24"/>
      <c r="I108" s="24"/>
      <c r="J108" s="24"/>
      <c r="K108" s="24"/>
      <c r="L108" s="24"/>
      <c r="M108" s="24"/>
      <c r="N108" s="58">
        <f>11.8-0.083*D108</f>
        <v>9.4760000000000009</v>
      </c>
      <c r="O108" s="58">
        <f>19-0.17*(D108)</f>
        <v>14.239999999999998</v>
      </c>
      <c r="P108" s="37" t="s">
        <v>302</v>
      </c>
      <c r="Q108" s="104" t="s">
        <v>303</v>
      </c>
      <c r="S108" s="60">
        <v>3</v>
      </c>
      <c r="T108" s="63">
        <f>IF(O93=5, N110, O110)</f>
        <v>13.642857142857142</v>
      </c>
      <c r="U108" s="60" t="str">
        <f>P110</f>
        <v>S  ≥  S₂</v>
      </c>
      <c r="V108" s="52"/>
      <c r="X108" s="52"/>
      <c r="Z108" s="52"/>
    </row>
    <row r="109" spans="1:26" s="47" customFormat="1" ht="15.95" hidden="1" customHeight="1" thickBot="1" x14ac:dyDescent="0.2">
      <c r="A109" s="24"/>
      <c r="B109" s="36" t="s">
        <v>319</v>
      </c>
      <c r="C109" s="20" t="s">
        <v>4</v>
      </c>
      <c r="D109" s="24">
        <f>T110</f>
        <v>9.4760000000000009</v>
      </c>
      <c r="E109" s="29" t="s">
        <v>187</v>
      </c>
      <c r="F109" s="24"/>
      <c r="G109" s="24"/>
      <c r="H109" s="24"/>
      <c r="I109" s="24"/>
      <c r="J109" s="24"/>
      <c r="K109" s="24"/>
      <c r="L109" s="24"/>
      <c r="M109" s="24"/>
      <c r="N109" s="58">
        <v>50</v>
      </c>
      <c r="O109" s="58">
        <v>39</v>
      </c>
      <c r="P109" s="37" t="s">
        <v>306</v>
      </c>
      <c r="Q109" s="55" t="s">
        <v>307</v>
      </c>
      <c r="V109" s="52"/>
      <c r="X109" s="52"/>
      <c r="Z109" s="52"/>
    </row>
    <row r="110" spans="1:26" s="47" customFormat="1" ht="15.95" hidden="1" customHeight="1" thickBot="1" x14ac:dyDescent="0.2">
      <c r="A110" s="24"/>
      <c r="B110" s="43"/>
      <c r="C110" s="20" t="s">
        <v>4</v>
      </c>
      <c r="D110" s="29">
        <f>D109*6.894757</f>
        <v>65.334717332000011</v>
      </c>
      <c r="E110" s="29" t="s">
        <v>457</v>
      </c>
      <c r="F110" s="24"/>
      <c r="G110" s="24"/>
      <c r="H110" s="24"/>
      <c r="I110" s="24"/>
      <c r="J110" s="24"/>
      <c r="K110" s="24"/>
      <c r="L110" s="24"/>
      <c r="M110" s="24"/>
      <c r="N110" s="64">
        <f>382/D108</f>
        <v>13.642857142857142</v>
      </c>
      <c r="O110" s="64">
        <f>484/D108</f>
        <v>17.285714285714285</v>
      </c>
      <c r="P110" s="37" t="s">
        <v>309</v>
      </c>
      <c r="Q110" s="60">
        <f>D108</f>
        <v>28</v>
      </c>
      <c r="S110" s="105">
        <f>IF(Q110&lt;=Q107,1,IF(AND(Q110&gt;Q107,Q110&lt;R107),2,3))</f>
        <v>2</v>
      </c>
      <c r="T110" s="65">
        <f>VLOOKUP(S110, S106:T108, 2, FALSE)</f>
        <v>9.4760000000000009</v>
      </c>
      <c r="U110" s="66" t="str">
        <f>VLOOKUP(S110,S106:U108, 3, FALSE)</f>
        <v>S₁&lt;  S  &lt; S₂</v>
      </c>
      <c r="V110" s="52"/>
      <c r="X110" s="52"/>
      <c r="Z110" s="52"/>
    </row>
    <row r="111" spans="1:26" s="47" customFormat="1" ht="15.95" hidden="1" customHeight="1" x14ac:dyDescent="0.15">
      <c r="A111" s="24"/>
      <c r="C111" s="20"/>
      <c r="D111" s="29"/>
      <c r="E111" s="29"/>
      <c r="F111" s="38"/>
      <c r="G111" s="38"/>
      <c r="H111" s="38"/>
      <c r="I111" s="24"/>
      <c r="J111" s="24"/>
      <c r="K111" s="24"/>
      <c r="L111" s="24"/>
      <c r="M111" s="24"/>
      <c r="V111" s="52"/>
      <c r="X111" s="52"/>
      <c r="Z111" s="52"/>
    </row>
    <row r="112" spans="1:26" s="47" customFormat="1" ht="15.95" hidden="1" customHeight="1" x14ac:dyDescent="0.15">
      <c r="A112" s="24"/>
      <c r="B112" s="49" t="s">
        <v>310</v>
      </c>
      <c r="C112" s="49"/>
      <c r="D112" s="156"/>
      <c r="E112" s="156"/>
      <c r="F112" s="49"/>
      <c r="G112" s="50" t="s">
        <v>324</v>
      </c>
      <c r="H112" s="101"/>
      <c r="I112" s="24"/>
      <c r="J112" s="49"/>
      <c r="K112" s="24"/>
      <c r="L112" s="24"/>
      <c r="M112" s="24"/>
      <c r="N112" s="52" t="s">
        <v>291</v>
      </c>
      <c r="O112" s="360">
        <v>18</v>
      </c>
      <c r="P112" s="24"/>
      <c r="S112" s="24"/>
      <c r="V112" s="52"/>
      <c r="X112" s="52"/>
      <c r="Z112" s="52"/>
    </row>
    <row r="113" spans="1:26" s="47" customFormat="1" ht="15.95" hidden="1" customHeight="1" x14ac:dyDescent="0.15">
      <c r="A113" s="24"/>
      <c r="B113" s="49"/>
      <c r="C113" s="49"/>
      <c r="D113" s="156"/>
      <c r="E113" s="156"/>
      <c r="F113" s="49"/>
      <c r="G113" s="49"/>
      <c r="H113" s="49"/>
      <c r="I113" s="24"/>
      <c r="J113" s="49"/>
      <c r="K113" s="24"/>
      <c r="L113" s="24"/>
      <c r="M113" s="38" t="s">
        <v>292</v>
      </c>
      <c r="N113" s="103">
        <v>5</v>
      </c>
      <c r="O113" s="103">
        <v>6</v>
      </c>
      <c r="Q113" s="702" t="s">
        <v>293</v>
      </c>
      <c r="R113" s="703"/>
      <c r="S113" s="704" t="s">
        <v>328</v>
      </c>
      <c r="T113" s="705"/>
      <c r="U113" s="706"/>
      <c r="V113" s="52"/>
      <c r="X113" s="52"/>
      <c r="Z113" s="52"/>
    </row>
    <row r="114" spans="1:26" s="47" customFormat="1" ht="15.95" hidden="1" customHeight="1" x14ac:dyDescent="0.15">
      <c r="A114" s="24"/>
      <c r="B114" s="36" t="s">
        <v>76</v>
      </c>
      <c r="C114" s="20" t="s">
        <v>4</v>
      </c>
      <c r="D114" s="23">
        <f>R41</f>
        <v>116</v>
      </c>
      <c r="E114" s="29" t="s">
        <v>479</v>
      </c>
      <c r="F114" s="24"/>
      <c r="G114" s="36" t="str">
        <f>U118</f>
        <v>S  ≤  S₁</v>
      </c>
      <c r="K114" s="24"/>
      <c r="L114" s="24"/>
      <c r="M114" s="24"/>
      <c r="N114" s="53">
        <v>12.6</v>
      </c>
      <c r="O114" s="53">
        <v>19.7</v>
      </c>
      <c r="P114" s="37" t="s">
        <v>296</v>
      </c>
      <c r="Q114" s="54" t="s">
        <v>297</v>
      </c>
      <c r="R114" s="55" t="s">
        <v>298</v>
      </c>
      <c r="S114" s="55">
        <v>1</v>
      </c>
      <c r="T114" s="56">
        <f>IF(O93=5, N114, O114)</f>
        <v>12.6</v>
      </c>
      <c r="U114" s="55" t="str">
        <f>P114</f>
        <v>S  ≤  S₁</v>
      </c>
      <c r="V114" s="52"/>
      <c r="X114" s="52"/>
      <c r="Z114" s="52"/>
    </row>
    <row r="115" spans="1:26" s="47" customFormat="1" ht="15.95" hidden="1" customHeight="1" x14ac:dyDescent="0.15">
      <c r="A115" s="24"/>
      <c r="B115" s="36" t="s">
        <v>333</v>
      </c>
      <c r="C115" s="20" t="s">
        <v>4</v>
      </c>
      <c r="D115" s="23">
        <f>R43</f>
        <v>2</v>
      </c>
      <c r="E115" s="29" t="s">
        <v>479</v>
      </c>
      <c r="F115" s="24"/>
      <c r="H115" s="24"/>
      <c r="I115" s="24"/>
      <c r="J115" s="24"/>
      <c r="K115" s="24"/>
      <c r="L115" s="24"/>
      <c r="M115" s="24"/>
      <c r="N115" s="58">
        <v>61</v>
      </c>
      <c r="O115" s="58">
        <v>54.9</v>
      </c>
      <c r="P115" s="37" t="s">
        <v>301</v>
      </c>
      <c r="Q115" s="59">
        <f>IF(O93=5, N115,O115)</f>
        <v>61</v>
      </c>
      <c r="R115" s="60">
        <f>IF(O93=5,N117,O117)</f>
        <v>115</v>
      </c>
      <c r="S115" s="62">
        <v>2</v>
      </c>
      <c r="T115" s="61">
        <f>IF(O93=5, N116, O116)</f>
        <v>12.808000000000002</v>
      </c>
      <c r="U115" s="62" t="str">
        <f>P116</f>
        <v>S₁&lt;  S  &lt; S₂</v>
      </c>
      <c r="V115" s="52"/>
      <c r="X115" s="52"/>
      <c r="Z115" s="52"/>
    </row>
    <row r="116" spans="1:26" s="47" customFormat="1" ht="15.95" hidden="1" customHeight="1" x14ac:dyDescent="0.15">
      <c r="A116" s="24"/>
      <c r="B116" s="36" t="s">
        <v>357</v>
      </c>
      <c r="C116" s="20" t="s">
        <v>4</v>
      </c>
      <c r="D116" s="23">
        <f>D114/D115</f>
        <v>58</v>
      </c>
      <c r="E116" s="29"/>
      <c r="F116" s="24"/>
      <c r="H116" s="24"/>
      <c r="I116" s="24"/>
      <c r="J116" s="24"/>
      <c r="K116" s="24"/>
      <c r="L116" s="24"/>
      <c r="M116" s="24"/>
      <c r="N116" s="58">
        <f>17.1-0.074*D116</f>
        <v>12.808000000000002</v>
      </c>
      <c r="O116" s="58">
        <f>27.9-0.15*(D116)</f>
        <v>19.2</v>
      </c>
      <c r="P116" s="37" t="s">
        <v>302</v>
      </c>
      <c r="Q116" s="104" t="s">
        <v>303</v>
      </c>
      <c r="S116" s="60">
        <v>3</v>
      </c>
      <c r="T116" s="63">
        <f>IF(O93=5, N118, O118)</f>
        <v>17</v>
      </c>
      <c r="U116" s="60" t="str">
        <f>P118</f>
        <v>S  ≥  S₂</v>
      </c>
      <c r="V116" s="52"/>
      <c r="X116" s="52"/>
      <c r="Z116" s="52"/>
    </row>
    <row r="117" spans="1:26" s="47" customFormat="1" ht="15.95" hidden="1" customHeight="1" thickBot="1" x14ac:dyDescent="0.2">
      <c r="A117" s="24"/>
      <c r="B117" s="36" t="s">
        <v>335</v>
      </c>
      <c r="C117" s="20" t="s">
        <v>4</v>
      </c>
      <c r="D117" s="24">
        <f>T118</f>
        <v>12.6</v>
      </c>
      <c r="E117" s="29" t="s">
        <v>187</v>
      </c>
      <c r="F117" s="24"/>
      <c r="G117" s="24"/>
      <c r="H117" s="24"/>
      <c r="I117" s="24"/>
      <c r="J117" s="24"/>
      <c r="K117" s="24"/>
      <c r="L117" s="24"/>
      <c r="M117" s="24"/>
      <c r="N117" s="58">
        <v>115</v>
      </c>
      <c r="O117" s="58">
        <v>93</v>
      </c>
      <c r="P117" s="37" t="s">
        <v>306</v>
      </c>
      <c r="Q117" s="55" t="s">
        <v>307</v>
      </c>
      <c r="V117" s="52"/>
      <c r="X117" s="52"/>
      <c r="Z117" s="52"/>
    </row>
    <row r="118" spans="1:26" s="47" customFormat="1" ht="15.95" hidden="1" customHeight="1" thickBot="1" x14ac:dyDescent="0.2">
      <c r="A118" s="24"/>
      <c r="B118" s="38"/>
      <c r="C118" s="20" t="s">
        <v>4</v>
      </c>
      <c r="D118" s="29">
        <f>D117*6.894757</f>
        <v>86.873938199999998</v>
      </c>
      <c r="E118" s="29" t="s">
        <v>457</v>
      </c>
      <c r="F118" s="24"/>
      <c r="G118" s="24"/>
      <c r="H118" s="24"/>
      <c r="I118" s="24"/>
      <c r="J118" s="24"/>
      <c r="K118" s="24"/>
      <c r="L118" s="24"/>
      <c r="M118" s="24"/>
      <c r="N118" s="64">
        <f>986/D116</f>
        <v>17</v>
      </c>
      <c r="O118" s="64">
        <f>1298/D116</f>
        <v>22.379310344827587</v>
      </c>
      <c r="P118" s="37" t="s">
        <v>309</v>
      </c>
      <c r="Q118" s="60">
        <f>D116</f>
        <v>58</v>
      </c>
      <c r="S118" s="105">
        <f>IF(Q118&lt;=Q115,1,IF(AND(Q118&gt;Q115,Q118&lt;=R115),2,3))</f>
        <v>1</v>
      </c>
      <c r="T118" s="65">
        <f>VLOOKUP(S118, S114:T116, 2, FALSE)</f>
        <v>12.6</v>
      </c>
      <c r="U118" s="66" t="str">
        <f>VLOOKUP(S118,S114:U116, 3, FALSE)</f>
        <v>S  ≤  S₁</v>
      </c>
      <c r="V118" s="52"/>
      <c r="X118" s="52"/>
      <c r="Z118" s="52"/>
    </row>
    <row r="119" spans="1:26" s="47" customFormat="1" ht="15.95" hidden="1" customHeight="1" x14ac:dyDescent="0.15">
      <c r="A119" s="24"/>
      <c r="B119" s="24"/>
      <c r="C119" s="24"/>
      <c r="D119" s="29"/>
      <c r="E119" s="29"/>
      <c r="F119" s="24"/>
      <c r="G119" s="24"/>
      <c r="H119" s="24"/>
      <c r="I119" s="24"/>
      <c r="J119" s="24"/>
      <c r="K119" s="24"/>
      <c r="L119" s="24"/>
      <c r="M119" s="24"/>
      <c r="N119" s="37"/>
      <c r="V119" s="52"/>
      <c r="X119" s="52"/>
      <c r="Z119" s="52"/>
    </row>
    <row r="120" spans="1:26" s="47" customFormat="1" ht="15.95" hidden="1" customHeight="1" x14ac:dyDescent="0.15">
      <c r="A120" s="24"/>
      <c r="B120" s="35" t="s">
        <v>336</v>
      </c>
      <c r="C120" s="24"/>
      <c r="D120" s="29"/>
      <c r="E120" s="19" t="s">
        <v>337</v>
      </c>
      <c r="F120" s="24" t="s">
        <v>338</v>
      </c>
      <c r="G120" s="24"/>
      <c r="H120" s="24"/>
      <c r="I120" s="24"/>
      <c r="J120" s="24"/>
      <c r="K120" s="24"/>
      <c r="L120" s="24"/>
      <c r="M120" s="24"/>
      <c r="N120" s="37"/>
      <c r="V120" s="52"/>
      <c r="X120" s="52"/>
      <c r="Z120" s="52"/>
    </row>
    <row r="121" spans="1:26" s="47" customFormat="1" ht="15.95" hidden="1" customHeight="1" x14ac:dyDescent="0.15">
      <c r="A121" s="24"/>
      <c r="B121" s="35"/>
      <c r="C121" s="24"/>
      <c r="D121" s="29"/>
      <c r="E121" s="29"/>
      <c r="F121" s="24"/>
      <c r="G121" s="24"/>
      <c r="H121" s="24"/>
      <c r="I121" s="24"/>
      <c r="J121" s="24"/>
      <c r="K121" s="24"/>
      <c r="L121" s="24"/>
      <c r="M121" s="24"/>
      <c r="N121" s="37"/>
      <c r="V121" s="52"/>
      <c r="X121" s="52"/>
      <c r="Z121" s="52"/>
    </row>
    <row r="122" spans="1:26" s="47" customFormat="1" ht="15.95" hidden="1" customHeight="1" x14ac:dyDescent="0.15">
      <c r="A122" s="24"/>
      <c r="B122" s="36" t="s">
        <v>135</v>
      </c>
      <c r="C122" s="20" t="s">
        <v>4</v>
      </c>
      <c r="D122" s="695" t="s">
        <v>1045</v>
      </c>
      <c r="E122" s="695"/>
      <c r="F122" s="24"/>
      <c r="G122" s="24"/>
      <c r="H122" s="24"/>
      <c r="I122" s="24"/>
      <c r="J122" s="24"/>
      <c r="K122" s="24"/>
      <c r="L122" s="24"/>
      <c r="M122" s="24"/>
      <c r="N122" s="37"/>
      <c r="V122" s="52"/>
      <c r="X122" s="52"/>
      <c r="Z122" s="52"/>
    </row>
    <row r="123" spans="1:26" s="47" customFormat="1" ht="15.95" hidden="1" customHeight="1" x14ac:dyDescent="0.15">
      <c r="A123" s="24"/>
      <c r="B123" s="38"/>
      <c r="C123" s="20" t="s">
        <v>4</v>
      </c>
      <c r="D123" s="23">
        <f>D14/D44</f>
        <v>0</v>
      </c>
      <c r="E123" s="29" t="s">
        <v>457</v>
      </c>
      <c r="F123" s="24"/>
      <c r="G123" s="24"/>
      <c r="H123" s="24"/>
      <c r="I123" s="24"/>
      <c r="J123" s="24"/>
      <c r="K123" s="24"/>
      <c r="L123" s="24"/>
      <c r="M123" s="24"/>
      <c r="N123" s="24"/>
      <c r="O123" s="24"/>
      <c r="P123" s="24"/>
      <c r="V123" s="52"/>
      <c r="X123" s="52"/>
      <c r="Z123" s="52"/>
    </row>
    <row r="124" spans="1:26" s="47" customFormat="1" ht="15.95" hidden="1" customHeight="1" x14ac:dyDescent="0.15">
      <c r="A124" s="24"/>
      <c r="B124" s="36" t="s">
        <v>139</v>
      </c>
      <c r="C124" s="20" t="s">
        <v>4</v>
      </c>
      <c r="D124" s="22" t="s">
        <v>341</v>
      </c>
      <c r="E124" s="157"/>
      <c r="F124" s="36"/>
      <c r="H124" s="24"/>
      <c r="I124" s="24"/>
      <c r="J124" s="24"/>
      <c r="K124" s="24"/>
      <c r="L124" s="24"/>
      <c r="M124" s="24"/>
      <c r="N124" s="24"/>
      <c r="O124" s="24"/>
      <c r="P124" s="24"/>
      <c r="V124" s="52"/>
      <c r="X124" s="52"/>
      <c r="Z124" s="52"/>
    </row>
    <row r="125" spans="1:26" s="47" customFormat="1" ht="15.95" hidden="1" customHeight="1" x14ac:dyDescent="0.15">
      <c r="A125" s="24"/>
      <c r="B125" s="43"/>
      <c r="C125" s="20" t="s">
        <v>4</v>
      </c>
      <c r="D125" s="67">
        <f>MIN(D102,D110,D118)</f>
        <v>65.334717332000011</v>
      </c>
      <c r="E125" s="29" t="s">
        <v>457</v>
      </c>
      <c r="F125" s="24"/>
      <c r="G125" s="38"/>
      <c r="H125" s="43"/>
      <c r="I125" s="38"/>
      <c r="J125" s="24"/>
      <c r="K125" s="24"/>
      <c r="L125" s="24"/>
      <c r="M125" s="24"/>
      <c r="N125" s="24"/>
      <c r="O125" s="24"/>
      <c r="P125" s="24"/>
      <c r="V125" s="52"/>
      <c r="X125" s="52"/>
      <c r="Z125" s="52"/>
    </row>
    <row r="126" spans="1:26" s="47" customFormat="1" ht="15.95" hidden="1" customHeight="1" x14ac:dyDescent="0.15">
      <c r="A126" s="24"/>
      <c r="C126" s="20"/>
      <c r="F126" s="24"/>
      <c r="G126" s="24"/>
      <c r="H126" s="24"/>
      <c r="I126" s="24"/>
      <c r="J126" s="24"/>
      <c r="K126" s="24"/>
      <c r="L126" s="24"/>
      <c r="M126" s="24"/>
      <c r="N126" s="24"/>
      <c r="O126" s="24"/>
      <c r="P126" s="24"/>
      <c r="V126" s="52"/>
      <c r="X126" s="52"/>
      <c r="Z126" s="52"/>
    </row>
    <row r="127" spans="1:26" ht="15.95" hidden="1" customHeight="1" x14ac:dyDescent="0.15"/>
    <row r="128" spans="1:26" ht="15.95" hidden="1" customHeight="1" x14ac:dyDescent="0.15">
      <c r="B128" s="35" t="s">
        <v>142</v>
      </c>
    </row>
    <row r="129" spans="1:14" ht="15.95" hidden="1" customHeight="1" x14ac:dyDescent="0.15"/>
    <row r="130" spans="1:14" ht="15.95" hidden="1" customHeight="1" x14ac:dyDescent="0.15">
      <c r="B130" s="36" t="s">
        <v>358</v>
      </c>
      <c r="C130" s="20" t="s">
        <v>4</v>
      </c>
      <c r="D130" s="38">
        <f>D123/D125</f>
        <v>0</v>
      </c>
      <c r="E130" s="39" t="str">
        <f>IF(D130&gt;F130,"&gt;","&lt;")</f>
        <v>&lt;</v>
      </c>
      <c r="F130" s="19">
        <v>1</v>
      </c>
      <c r="G130" s="107" t="str">
        <f>IF(D130&lt;F130,"O.K.","N.G.")</f>
        <v>O.K.</v>
      </c>
    </row>
    <row r="131" spans="1:14" ht="15.95" hidden="1" customHeight="1" x14ac:dyDescent="0.15">
      <c r="B131" s="68"/>
      <c r="D131" s="43"/>
    </row>
    <row r="132" spans="1:14" ht="15.95" hidden="1" customHeight="1" x14ac:dyDescent="0.15">
      <c r="A132" s="43"/>
      <c r="B132" s="43"/>
      <c r="C132" s="43"/>
      <c r="D132" s="43"/>
      <c r="E132" s="43"/>
      <c r="F132" s="49"/>
      <c r="G132" s="43"/>
      <c r="H132" s="43"/>
      <c r="I132" s="43"/>
      <c r="J132" s="43"/>
      <c r="K132" s="43"/>
      <c r="L132" s="43"/>
    </row>
    <row r="133" spans="1:14" ht="15.95" hidden="1" customHeight="1" x14ac:dyDescent="0.15">
      <c r="A133" s="43"/>
      <c r="B133" s="43"/>
      <c r="C133" s="43"/>
      <c r="D133" s="43"/>
      <c r="E133" s="43"/>
      <c r="F133" s="43"/>
      <c r="G133" s="43"/>
      <c r="H133" s="43"/>
      <c r="I133" s="43"/>
      <c r="J133" s="43"/>
      <c r="K133" s="43"/>
      <c r="L133" s="43"/>
      <c r="M133" s="43"/>
      <c r="N133" s="20"/>
    </row>
    <row r="134" spans="1:14" ht="15.95" hidden="1" customHeight="1" x14ac:dyDescent="0.15">
      <c r="A134" s="43"/>
      <c r="B134" s="43"/>
      <c r="C134" s="43"/>
      <c r="D134" s="43"/>
      <c r="E134" s="43"/>
      <c r="F134" s="43"/>
      <c r="G134" s="43"/>
      <c r="H134" s="43"/>
      <c r="I134" s="43"/>
      <c r="J134" s="43"/>
      <c r="K134" s="43"/>
      <c r="L134" s="43"/>
      <c r="M134" s="43"/>
      <c r="N134" s="20"/>
    </row>
    <row r="135" spans="1:14" ht="15.95" hidden="1" customHeight="1" x14ac:dyDescent="0.15">
      <c r="B135" s="49"/>
      <c r="D135" s="43"/>
    </row>
    <row r="136" spans="1:14" ht="15.95" hidden="1" customHeight="1" x14ac:dyDescent="0.15">
      <c r="B136" s="49"/>
      <c r="D136" s="43"/>
    </row>
    <row r="137" spans="1:14" ht="15.95" hidden="1" customHeight="1" x14ac:dyDescent="0.15">
      <c r="B137" s="49"/>
      <c r="D137" s="43"/>
    </row>
    <row r="138" spans="1:14" ht="15.95" hidden="1" customHeight="1" x14ac:dyDescent="0.15">
      <c r="B138" s="49"/>
      <c r="D138" s="43"/>
    </row>
    <row r="139" spans="1:14" ht="15.95" hidden="1" customHeight="1" x14ac:dyDescent="0.15">
      <c r="B139" s="40" t="s">
        <v>145</v>
      </c>
    </row>
    <row r="140" spans="1:14" ht="15.95" hidden="1" customHeight="1" x14ac:dyDescent="0.15"/>
    <row r="141" spans="1:14" ht="15.95" hidden="1" customHeight="1" x14ac:dyDescent="0.15">
      <c r="B141" s="35" t="s">
        <v>147</v>
      </c>
    </row>
    <row r="142" spans="1:14" ht="15.95" hidden="1" customHeight="1" x14ac:dyDescent="0.15">
      <c r="B142" s="35"/>
    </row>
    <row r="143" spans="1:14" ht="15.95" hidden="1" customHeight="1" x14ac:dyDescent="0.15">
      <c r="B143" s="78" t="s">
        <v>120</v>
      </c>
      <c r="C143" s="20" t="s">
        <v>4</v>
      </c>
      <c r="D143" s="24">
        <f>D16</f>
        <v>0</v>
      </c>
      <c r="E143" s="29" t="s">
        <v>479</v>
      </c>
    </row>
    <row r="144" spans="1:14" ht="15.95" hidden="1" customHeight="1" x14ac:dyDescent="0.15"/>
    <row r="145" spans="1:26" ht="15.95" hidden="1" customHeight="1" x14ac:dyDescent="0.15"/>
    <row r="146" spans="1:26" ht="15.95" hidden="1" customHeight="1" x14ac:dyDescent="0.15">
      <c r="B146" s="35" t="s">
        <v>146</v>
      </c>
      <c r="E146" s="42" t="s">
        <v>150</v>
      </c>
    </row>
    <row r="147" spans="1:26" ht="15.95" hidden="1" customHeight="1" x14ac:dyDescent="0.15">
      <c r="B147" s="35"/>
    </row>
    <row r="148" spans="1:26" ht="15.95" hidden="1" customHeight="1" x14ac:dyDescent="0.15">
      <c r="B148" s="78" t="s">
        <v>2</v>
      </c>
      <c r="C148" s="20" t="s">
        <v>4</v>
      </c>
      <c r="D148" s="167">
        <f>D10</f>
        <v>4000</v>
      </c>
      <c r="E148" s="24" t="str">
        <f>IF(D148&gt;4110,"mm      &gt;     4110 mm","mm     ≤     4110 mm")</f>
        <v>mm     ≤     4110 mm</v>
      </c>
      <c r="M148" s="43" t="s">
        <v>151</v>
      </c>
      <c r="N148" s="41">
        <f>D148/240+6.35</f>
        <v>23.016666666666666</v>
      </c>
    </row>
    <row r="149" spans="1:26" ht="15.95" hidden="1" customHeight="1" x14ac:dyDescent="0.15">
      <c r="B149" s="78" t="s">
        <v>148</v>
      </c>
      <c r="C149" s="20" t="s">
        <v>4</v>
      </c>
      <c r="D149" s="177">
        <f>D148</f>
        <v>4000</v>
      </c>
      <c r="E149" s="35" t="str">
        <f>IF(D148&lt;4110,"mm      /     175","mm      /      240 + 6.35 mm ")</f>
        <v>mm      /     175</v>
      </c>
      <c r="M149" s="43" t="s">
        <v>152</v>
      </c>
      <c r="N149" s="41">
        <f>D148/175</f>
        <v>22.857142857142858</v>
      </c>
    </row>
    <row r="150" spans="1:26" ht="15.95" hidden="1" customHeight="1" x14ac:dyDescent="0.15">
      <c r="B150" s="38"/>
      <c r="C150" s="20" t="s">
        <v>4</v>
      </c>
      <c r="D150" s="38">
        <f>IF(D148&gt;4110,N148,N149)</f>
        <v>22.857142857142858</v>
      </c>
      <c r="E150" s="24" t="s">
        <v>496</v>
      </c>
    </row>
    <row r="151" spans="1:26" ht="15.95" hidden="1" customHeight="1" x14ac:dyDescent="0.15"/>
    <row r="152" spans="1:26" ht="15.95" hidden="1" customHeight="1" x14ac:dyDescent="0.15"/>
    <row r="153" spans="1:26" ht="15.95" hidden="1" customHeight="1" x14ac:dyDescent="0.15">
      <c r="B153" s="35" t="s">
        <v>153</v>
      </c>
    </row>
    <row r="154" spans="1:26" s="20" customFormat="1" ht="15.95" hidden="1" customHeight="1" x14ac:dyDescent="0.15">
      <c r="A154" s="43"/>
      <c r="C154" s="43"/>
      <c r="D154" s="43"/>
      <c r="E154" s="43"/>
      <c r="F154" s="43"/>
      <c r="G154" s="43"/>
      <c r="H154" s="43"/>
      <c r="I154" s="43"/>
      <c r="J154" s="43"/>
      <c r="K154" s="43"/>
      <c r="L154" s="43"/>
      <c r="M154" s="43"/>
      <c r="O154" s="24"/>
      <c r="P154" s="24"/>
      <c r="Q154" s="24"/>
      <c r="R154" s="24"/>
      <c r="S154" s="24"/>
      <c r="T154" s="24"/>
      <c r="U154" s="24"/>
      <c r="V154" s="38"/>
      <c r="X154" s="38"/>
      <c r="Z154" s="38"/>
    </row>
    <row r="155" spans="1:26" s="20" customFormat="1" ht="15.95" hidden="1" customHeight="1" x14ac:dyDescent="0.15">
      <c r="A155" s="24"/>
      <c r="B155" s="36" t="s">
        <v>359</v>
      </c>
      <c r="C155" s="20" t="s">
        <v>4</v>
      </c>
      <c r="D155" s="38">
        <f>D143/(D150)</f>
        <v>0</v>
      </c>
      <c r="E155" s="39" t="str">
        <f>IF(D155&gt;F155,"&gt;","&lt;")</f>
        <v>&lt;</v>
      </c>
      <c r="F155" s="19">
        <v>1</v>
      </c>
      <c r="G155" s="107" t="str">
        <f>IF(D155&lt;F155,"O.K.","N.G.")</f>
        <v>O.K.</v>
      </c>
      <c r="I155" s="43"/>
      <c r="J155" s="43"/>
      <c r="K155" s="43"/>
      <c r="L155" s="43"/>
      <c r="M155" s="43"/>
      <c r="O155" s="24"/>
      <c r="P155" s="24"/>
      <c r="Q155" s="24"/>
      <c r="R155" s="24"/>
      <c r="S155" s="24"/>
      <c r="T155" s="24"/>
      <c r="U155" s="24"/>
      <c r="V155" s="38"/>
      <c r="X155" s="38"/>
      <c r="Z155" s="38"/>
    </row>
    <row r="156" spans="1:26" ht="15.95" hidden="1" customHeight="1" x14ac:dyDescent="0.15"/>
    <row r="157" spans="1:26" ht="15.95" hidden="1" customHeight="1" x14ac:dyDescent="0.15"/>
  </sheetData>
  <sheetProtection algorithmName="SHA-512" hashValue="J7EOWpnZfzyCUATNZt2BGr9GrcJdB4hAkIWYs4EWuEqGVWwhZbeNSNV6G3jZsWtqxA4xDLSheKWjcCqMm/+JHg==" saltValue="eJbaMMlJre+iei1h3bueIQ==" spinCount="100000" sheet="1" objects="1" scenarios="1" selectLockedCells="1"/>
  <protectedRanges>
    <protectedRange sqref="D7:D11" name="범위1_2"/>
  </protectedRanges>
  <mergeCells count="12">
    <mergeCell ref="M6:N6"/>
    <mergeCell ref="D122:E122"/>
    <mergeCell ref="G22:K45"/>
    <mergeCell ref="Q96:R96"/>
    <mergeCell ref="S96:U96"/>
    <mergeCell ref="Q105:R105"/>
    <mergeCell ref="S105:U105"/>
    <mergeCell ref="Q113:R113"/>
    <mergeCell ref="S113:U113"/>
    <mergeCell ref="N13:N14"/>
    <mergeCell ref="O13:O14"/>
    <mergeCell ref="B46:K46"/>
  </mergeCells>
  <phoneticPr fontId="2" type="noConversion"/>
  <pageMargins left="0.51181102362204722" right="0.51181102362204722" top="0.78740157480314965" bottom="0.59055118110236227" header="0.39370078740157483" footer="0.39370078740157483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>
    <tabColor rgb="FF00B0F0"/>
  </sheetPr>
  <dimension ref="A1:AA184"/>
  <sheetViews>
    <sheetView view="pageBreakPreview" zoomScale="75" zoomScaleNormal="100" zoomScaleSheetLayoutView="75" workbookViewId="0">
      <selection activeCell="G6" sqref="G6"/>
    </sheetView>
  </sheetViews>
  <sheetFormatPr defaultRowHeight="15.95" customHeight="1" x14ac:dyDescent="0.15"/>
  <cols>
    <col min="1" max="1" width="2.77734375" style="24" customWidth="1"/>
    <col min="2" max="2" width="7.33203125" style="24" customWidth="1"/>
    <col min="3" max="3" width="5.33203125" style="24" customWidth="1"/>
    <col min="4" max="4" width="9.33203125" style="24" customWidth="1"/>
    <col min="5" max="5" width="5.33203125" style="24" customWidth="1"/>
    <col min="6" max="6" width="9.33203125" style="24" customWidth="1"/>
    <col min="7" max="8" width="7.33203125" style="24" customWidth="1"/>
    <col min="9" max="9" width="5.33203125" style="24" customWidth="1"/>
    <col min="10" max="10" width="9.33203125" style="24" customWidth="1"/>
    <col min="11" max="11" width="7.33203125" style="24" customWidth="1"/>
    <col min="12" max="12" width="2.77734375" style="24" customWidth="1"/>
    <col min="13" max="13" width="6.77734375" style="24" customWidth="1"/>
    <col min="14" max="14" width="9.21875" style="24" customWidth="1"/>
    <col min="15" max="15" width="8.77734375" style="24" customWidth="1"/>
    <col min="16" max="16" width="9.77734375" style="24" customWidth="1"/>
    <col min="17" max="17" width="6.77734375" style="24" customWidth="1"/>
    <col min="18" max="18" width="8.77734375" style="24" customWidth="1"/>
    <col min="19" max="20" width="6.77734375" style="24" customWidth="1"/>
    <col min="21" max="21" width="9.77734375" style="24" hidden="1" customWidth="1"/>
    <col min="22" max="22" width="0" style="38" hidden="1" customWidth="1"/>
    <col min="23" max="23" width="5.77734375" style="24" hidden="1" customWidth="1"/>
    <col min="24" max="24" width="5.77734375" style="38" hidden="1" customWidth="1"/>
    <col min="25" max="25" width="5.77734375" style="24" hidden="1" customWidth="1"/>
    <col min="26" max="26" width="5.77734375" style="38" hidden="1" customWidth="1"/>
    <col min="27" max="27" width="5.77734375" style="24" hidden="1" customWidth="1"/>
    <col min="28" max="16384" width="8.88671875" style="24"/>
  </cols>
  <sheetData>
    <row r="1" spans="1:18" ht="15.95" customHeight="1" x14ac:dyDescent="0.15">
      <c r="A1" s="76" t="s">
        <v>188</v>
      </c>
    </row>
    <row r="3" spans="1:18" ht="15.95" customHeight="1" x14ac:dyDescent="0.15">
      <c r="B3" s="77" t="s">
        <v>58</v>
      </c>
    </row>
    <row r="5" spans="1:18" ht="15.95" customHeight="1" x14ac:dyDescent="0.15">
      <c r="B5" s="78" t="s">
        <v>59</v>
      </c>
      <c r="C5" s="20" t="s">
        <v>4</v>
      </c>
      <c r="D5" s="42">
        <f>(SUMPRODUCT((N8:N10=N7)*(O7:P7=M7),O8:P10))</f>
        <v>0</v>
      </c>
      <c r="E5" s="43" t="s">
        <v>456</v>
      </c>
      <c r="H5" s="36" t="s">
        <v>69</v>
      </c>
      <c r="I5" s="49"/>
      <c r="M5" s="38"/>
      <c r="P5" s="12"/>
      <c r="Q5" s="12"/>
    </row>
    <row r="6" spans="1:18" ht="15.95" customHeight="1" x14ac:dyDescent="0.15">
      <c r="B6" s="78" t="s">
        <v>190</v>
      </c>
      <c r="C6" s="20" t="s">
        <v>4</v>
      </c>
      <c r="D6" s="172">
        <f>710100/100*9.80665</f>
        <v>69637.021649999995</v>
      </c>
      <c r="E6" s="43" t="s">
        <v>457</v>
      </c>
      <c r="F6" s="80" t="s">
        <v>191</v>
      </c>
      <c r="G6" s="561">
        <v>5</v>
      </c>
      <c r="H6" s="36" t="s">
        <v>203</v>
      </c>
      <c r="I6" s="43"/>
      <c r="M6" s="694" t="s">
        <v>543</v>
      </c>
      <c r="N6" s="694"/>
      <c r="O6" s="188"/>
      <c r="P6" s="189"/>
      <c r="Q6" s="12"/>
      <c r="R6" s="12"/>
    </row>
    <row r="7" spans="1:18" ht="15.95" customHeight="1" x14ac:dyDescent="0.15">
      <c r="B7" s="78" t="s">
        <v>60</v>
      </c>
      <c r="C7" s="20" t="s">
        <v>4</v>
      </c>
      <c r="D7" s="570">
        <v>1200</v>
      </c>
      <c r="E7" s="43" t="s">
        <v>458</v>
      </c>
      <c r="H7" s="36" t="s">
        <v>70</v>
      </c>
      <c r="M7" s="562" t="s">
        <v>541</v>
      </c>
      <c r="N7" s="563">
        <v>1</v>
      </c>
      <c r="O7" s="185" t="s">
        <v>541</v>
      </c>
      <c r="P7" s="185" t="s">
        <v>542</v>
      </c>
    </row>
    <row r="8" spans="1:18" ht="15.95" customHeight="1" x14ac:dyDescent="0.15">
      <c r="B8" s="78" t="s">
        <v>61</v>
      </c>
      <c r="C8" s="20" t="s">
        <v>4</v>
      </c>
      <c r="D8" s="570">
        <v>1500</v>
      </c>
      <c r="E8" s="43" t="s">
        <v>458</v>
      </c>
      <c r="H8" s="36" t="s">
        <v>71</v>
      </c>
      <c r="M8" s="190" t="s">
        <v>453</v>
      </c>
      <c r="N8" s="186">
        <v>1</v>
      </c>
      <c r="O8" s="187" t="str">
        <f>풍하중!T8</f>
        <v>-</v>
      </c>
      <c r="P8" s="187">
        <f>풍하중!U8</f>
        <v>1.52</v>
      </c>
    </row>
    <row r="9" spans="1:18" ht="15.95" customHeight="1" x14ac:dyDescent="0.15">
      <c r="B9" s="36" t="s">
        <v>491</v>
      </c>
      <c r="C9" s="20" t="s">
        <v>4</v>
      </c>
      <c r="D9" s="570">
        <v>1000</v>
      </c>
      <c r="E9" s="43" t="s">
        <v>458</v>
      </c>
      <c r="H9" s="36" t="s">
        <v>400</v>
      </c>
      <c r="I9" s="43"/>
      <c r="M9" s="190" t="s">
        <v>454</v>
      </c>
      <c r="N9" s="186">
        <v>2</v>
      </c>
      <c r="O9" s="187" t="str">
        <f>풍하중!T9</f>
        <v>-</v>
      </c>
      <c r="P9" s="187">
        <f>풍하중!U9</f>
        <v>-1.1619999999999999</v>
      </c>
    </row>
    <row r="10" spans="1:18" ht="15.95" customHeight="1" x14ac:dyDescent="0.15">
      <c r="B10" s="36" t="s">
        <v>490</v>
      </c>
      <c r="C10" s="20" t="s">
        <v>4</v>
      </c>
      <c r="D10" s="570">
        <v>4000</v>
      </c>
      <c r="E10" s="43" t="s">
        <v>458</v>
      </c>
      <c r="H10" s="36" t="s">
        <v>401</v>
      </c>
      <c r="I10" s="43"/>
      <c r="M10" s="190" t="s">
        <v>455</v>
      </c>
      <c r="N10" s="186">
        <v>3</v>
      </c>
      <c r="O10" s="187" t="str">
        <f>풍하중!T10</f>
        <v>-</v>
      </c>
      <c r="P10" s="187">
        <f>풍하중!U10</f>
        <v>-1.39</v>
      </c>
    </row>
    <row r="11" spans="1:18" ht="15.95" customHeight="1" x14ac:dyDescent="0.15">
      <c r="B11" s="36" t="s">
        <v>492</v>
      </c>
      <c r="C11" s="20" t="s">
        <v>4</v>
      </c>
      <c r="D11" s="570">
        <v>2600</v>
      </c>
      <c r="E11" s="43" t="s">
        <v>458</v>
      </c>
      <c r="H11" s="36" t="s">
        <v>72</v>
      </c>
    </row>
    <row r="12" spans="1:18" ht="15.95" customHeight="1" x14ac:dyDescent="0.15">
      <c r="B12" s="80"/>
      <c r="C12" s="20"/>
      <c r="D12" s="150"/>
      <c r="E12" s="43"/>
      <c r="F12" s="150"/>
      <c r="I12" s="36"/>
    </row>
    <row r="13" spans="1:18" ht="15.95" customHeight="1" x14ac:dyDescent="0.15">
      <c r="M13" s="165"/>
      <c r="N13" s="698"/>
      <c r="O13" s="698"/>
    </row>
    <row r="14" spans="1:18" ht="15.95" customHeight="1" x14ac:dyDescent="0.15">
      <c r="B14" s="36" t="s">
        <v>65</v>
      </c>
      <c r="C14" s="20" t="s">
        <v>4</v>
      </c>
      <c r="D14" s="172">
        <f>D89</f>
        <v>0</v>
      </c>
      <c r="E14" s="43" t="s">
        <v>514</v>
      </c>
      <c r="F14" s="36"/>
      <c r="G14" s="80" t="s">
        <v>488</v>
      </c>
      <c r="H14" s="162" t="s">
        <v>66</v>
      </c>
      <c r="I14" s="20" t="s">
        <v>4</v>
      </c>
      <c r="J14" s="108">
        <f>D130</f>
        <v>0</v>
      </c>
      <c r="K14" s="83" t="str">
        <f>IF(J14&lt;1,"O.K","N.G")</f>
        <v>O.K</v>
      </c>
      <c r="M14" s="165"/>
      <c r="N14" s="698"/>
      <c r="O14" s="698"/>
    </row>
    <row r="15" spans="1:18" ht="15.95" customHeight="1" x14ac:dyDescent="0.15">
      <c r="G15" s="80" t="s">
        <v>489</v>
      </c>
      <c r="H15" s="162" t="s">
        <v>66</v>
      </c>
      <c r="I15" s="20" t="s">
        <v>4</v>
      </c>
      <c r="J15" s="108">
        <f>D163</f>
        <v>0</v>
      </c>
      <c r="K15" s="83" t="str">
        <f>IF(J15&lt;1,"O.K","N.G")</f>
        <v>O.K</v>
      </c>
    </row>
    <row r="16" spans="1:18" ht="15.95" customHeight="1" x14ac:dyDescent="0.15">
      <c r="B16" s="36" t="s">
        <v>120</v>
      </c>
      <c r="C16" s="20" t="s">
        <v>4</v>
      </c>
      <c r="D16" s="79">
        <f>D91</f>
        <v>0</v>
      </c>
      <c r="E16" s="43" t="s">
        <v>458</v>
      </c>
      <c r="F16" s="36"/>
    </row>
    <row r="17" spans="2:26" ht="15.95" customHeight="1" x14ac:dyDescent="0.15">
      <c r="B17" s="36" t="s">
        <v>484</v>
      </c>
      <c r="C17" s="20" t="s">
        <v>4</v>
      </c>
      <c r="D17" s="79">
        <f>D177</f>
        <v>22.857142857142858</v>
      </c>
      <c r="E17" s="43" t="s">
        <v>458</v>
      </c>
      <c r="H17" s="80" t="s">
        <v>68</v>
      </c>
      <c r="I17" s="20" t="s">
        <v>4</v>
      </c>
      <c r="J17" s="108">
        <f>D182</f>
        <v>0</v>
      </c>
      <c r="K17" s="83" t="str">
        <f>IF(J17&lt;1,"O.K","N.G")</f>
        <v>O.K</v>
      </c>
    </row>
    <row r="19" spans="2:26" ht="15.95" customHeight="1" x14ac:dyDescent="0.15">
      <c r="B19" s="77" t="s">
        <v>78</v>
      </c>
      <c r="E19" s="49"/>
      <c r="H19" s="77" t="s">
        <v>485</v>
      </c>
      <c r="J19" s="559">
        <v>1</v>
      </c>
      <c r="N19" s="24" t="s">
        <v>474</v>
      </c>
      <c r="Q19" s="20" t="s">
        <v>51</v>
      </c>
    </row>
    <row r="20" spans="2:26" ht="15.95" customHeight="1" thickBot="1" x14ac:dyDescent="0.2">
      <c r="K20" s="81"/>
      <c r="L20" s="81"/>
      <c r="M20" s="81"/>
    </row>
    <row r="21" spans="2:26" ht="15.95" customHeight="1" thickBot="1" x14ac:dyDescent="0.2">
      <c r="B21" s="138"/>
      <c r="C21" s="139"/>
      <c r="D21" s="139"/>
      <c r="E21" s="139"/>
      <c r="F21" s="139"/>
      <c r="G21" s="139"/>
      <c r="H21" s="139"/>
      <c r="I21" s="139"/>
      <c r="J21" s="139"/>
      <c r="K21" s="140"/>
      <c r="N21" s="138" t="s">
        <v>287</v>
      </c>
      <c r="O21" s="139"/>
      <c r="P21" s="139"/>
      <c r="Q21" s="138" t="s">
        <v>288</v>
      </c>
      <c r="R21" s="139"/>
      <c r="S21" s="140"/>
    </row>
    <row r="22" spans="2:26" ht="15.95" customHeight="1" x14ac:dyDescent="0.15">
      <c r="B22" s="91"/>
      <c r="K22" s="110"/>
      <c r="N22" s="84" t="s">
        <v>46</v>
      </c>
      <c r="O22" s="564">
        <v>60</v>
      </c>
      <c r="P22" s="154" t="s">
        <v>468</v>
      </c>
      <c r="Q22" s="84" t="s">
        <v>46</v>
      </c>
      <c r="R22" s="564">
        <v>60</v>
      </c>
      <c r="S22" s="85" t="s">
        <v>468</v>
      </c>
      <c r="U22" s="80" t="s">
        <v>155</v>
      </c>
      <c r="V22" s="24">
        <f>V36*X36</f>
        <v>60</v>
      </c>
      <c r="W22" s="80" t="s">
        <v>156</v>
      </c>
      <c r="X22" s="24">
        <f>X36/2</f>
        <v>15</v>
      </c>
      <c r="Y22" s="80" t="s">
        <v>157</v>
      </c>
      <c r="Z22" s="24">
        <f>V35+X34/2</f>
        <v>30</v>
      </c>
    </row>
    <row r="23" spans="2:26" ht="15.95" customHeight="1" x14ac:dyDescent="0.15">
      <c r="B23" s="91"/>
      <c r="K23" s="110"/>
      <c r="N23" s="71" t="s">
        <v>199</v>
      </c>
      <c r="O23" s="565">
        <v>120</v>
      </c>
      <c r="P23" s="43" t="s">
        <v>468</v>
      </c>
      <c r="Q23" s="71" t="s">
        <v>199</v>
      </c>
      <c r="R23" s="565">
        <v>120</v>
      </c>
      <c r="S23" s="86" t="s">
        <v>468</v>
      </c>
      <c r="U23" s="80" t="s">
        <v>158</v>
      </c>
      <c r="V23" s="24">
        <f>X34*V34</f>
        <v>112</v>
      </c>
      <c r="W23" s="80" t="s">
        <v>159</v>
      </c>
      <c r="X23" s="24">
        <f>X36+V34/2</f>
        <v>31</v>
      </c>
      <c r="Y23" s="80" t="s">
        <v>160</v>
      </c>
      <c r="Z23" s="24">
        <f>V35+X34/2</f>
        <v>30</v>
      </c>
    </row>
    <row r="24" spans="2:26" ht="15.95" customHeight="1" x14ac:dyDescent="0.15">
      <c r="B24" s="91"/>
      <c r="K24" s="110"/>
      <c r="N24" s="71" t="s">
        <v>204</v>
      </c>
      <c r="O24" s="565">
        <v>30</v>
      </c>
      <c r="P24" s="43" t="s">
        <v>468</v>
      </c>
      <c r="Q24" s="91"/>
      <c r="R24" s="566"/>
      <c r="S24" s="110"/>
      <c r="U24" s="80" t="s">
        <v>161</v>
      </c>
      <c r="V24" s="24">
        <f>X34*V34</f>
        <v>112</v>
      </c>
      <c r="W24" s="80" t="s">
        <v>162</v>
      </c>
      <c r="X24" s="24">
        <f>X36+(X35-V34)+V34/2</f>
        <v>149</v>
      </c>
      <c r="Y24" s="80" t="s">
        <v>163</v>
      </c>
      <c r="Z24" s="24">
        <f>V35+X34/2</f>
        <v>30</v>
      </c>
    </row>
    <row r="25" spans="2:26" ht="15.95" customHeight="1" x14ac:dyDescent="0.15">
      <c r="B25" s="91"/>
      <c r="K25" s="110"/>
      <c r="N25" s="71" t="s">
        <v>74</v>
      </c>
      <c r="O25" s="565">
        <v>2</v>
      </c>
      <c r="P25" s="43" t="s">
        <v>468</v>
      </c>
      <c r="Q25" s="71" t="s">
        <v>74</v>
      </c>
      <c r="R25" s="565">
        <v>2</v>
      </c>
      <c r="S25" s="86" t="s">
        <v>468</v>
      </c>
      <c r="U25" s="80" t="s">
        <v>164</v>
      </c>
      <c r="V25" s="24">
        <f>X35*V35</f>
        <v>240</v>
      </c>
      <c r="W25" s="80" t="s">
        <v>165</v>
      </c>
      <c r="X25" s="24">
        <f>X36+X35/2</f>
        <v>90</v>
      </c>
      <c r="Y25" s="80" t="s">
        <v>166</v>
      </c>
      <c r="Z25" s="24">
        <f>V35/2</f>
        <v>1</v>
      </c>
    </row>
    <row r="26" spans="2:26" ht="15.95" customHeight="1" x14ac:dyDescent="0.15">
      <c r="B26" s="91"/>
      <c r="K26" s="110"/>
      <c r="N26" s="71" t="s">
        <v>466</v>
      </c>
      <c r="O26" s="565">
        <v>2</v>
      </c>
      <c r="P26" s="43" t="s">
        <v>468</v>
      </c>
      <c r="Q26" s="71" t="s">
        <v>75</v>
      </c>
      <c r="R26" s="567">
        <v>2</v>
      </c>
      <c r="S26" s="86" t="s">
        <v>468</v>
      </c>
      <c r="U26" s="80" t="s">
        <v>167</v>
      </c>
      <c r="V26" s="24">
        <f>X35*V35</f>
        <v>240</v>
      </c>
      <c r="W26" s="80" t="s">
        <v>168</v>
      </c>
      <c r="X26" s="24">
        <f>X36+X35/2</f>
        <v>90</v>
      </c>
      <c r="Y26" s="80" t="s">
        <v>169</v>
      </c>
      <c r="Z26" s="24">
        <f>V35+X34+V35/2</f>
        <v>59</v>
      </c>
    </row>
    <row r="27" spans="2:26" ht="15.95" customHeight="1" thickBot="1" x14ac:dyDescent="0.2">
      <c r="B27" s="91"/>
      <c r="K27" s="110"/>
      <c r="N27" s="71" t="s">
        <v>192</v>
      </c>
      <c r="O27" s="565">
        <v>2</v>
      </c>
      <c r="P27" s="43" t="s">
        <v>468</v>
      </c>
      <c r="Q27" s="91"/>
      <c r="R27" s="566"/>
      <c r="S27" s="110"/>
      <c r="U27" s="80"/>
      <c r="V27" s="24"/>
      <c r="W27" s="80"/>
      <c r="X27" s="24"/>
      <c r="Y27" s="80"/>
      <c r="Z27" s="24"/>
    </row>
    <row r="28" spans="2:26" ht="15.95" customHeight="1" x14ac:dyDescent="0.15">
      <c r="B28" s="91"/>
      <c r="K28" s="110"/>
      <c r="N28" s="84" t="s">
        <v>196</v>
      </c>
      <c r="O28" s="151">
        <f>O23+O24</f>
        <v>150</v>
      </c>
      <c r="P28" s="85" t="s">
        <v>458</v>
      </c>
      <c r="Q28" s="91"/>
      <c r="R28" s="566"/>
      <c r="S28" s="110"/>
      <c r="U28" s="80" t="s">
        <v>170</v>
      </c>
      <c r="V28" s="24">
        <f>X22-Z30</f>
        <v>-69.109947643979055</v>
      </c>
      <c r="W28" s="80" t="s">
        <v>171</v>
      </c>
      <c r="X28" s="24">
        <f>Z22-Z31</f>
        <v>0</v>
      </c>
      <c r="Y28" s="80" t="s">
        <v>172</v>
      </c>
      <c r="Z28" s="24">
        <f>V22*X22+V23*X23+V24*X24+V25*X25+V26*X26</f>
        <v>64260</v>
      </c>
    </row>
    <row r="29" spans="2:26" ht="15.95" customHeight="1" x14ac:dyDescent="0.15">
      <c r="B29" s="91"/>
      <c r="K29" s="110"/>
      <c r="N29" s="71" t="s">
        <v>77</v>
      </c>
      <c r="O29" s="23">
        <f>O22-2*O26</f>
        <v>56</v>
      </c>
      <c r="P29" s="43" t="s">
        <v>458</v>
      </c>
      <c r="Q29" s="91"/>
      <c r="R29" s="566"/>
      <c r="S29" s="110"/>
      <c r="U29" s="80" t="s">
        <v>174</v>
      </c>
      <c r="V29" s="24">
        <f>X23-Z30</f>
        <v>-53.109947643979055</v>
      </c>
      <c r="W29" s="80" t="s">
        <v>175</v>
      </c>
      <c r="X29" s="24">
        <f>Z23-Z31</f>
        <v>0</v>
      </c>
      <c r="Y29" s="80" t="s">
        <v>176</v>
      </c>
      <c r="Z29" s="24">
        <f>V22*Z22+V23*Z23+V24*Z24+V25*Z25+V26*Z26</f>
        <v>22920</v>
      </c>
    </row>
    <row r="30" spans="2:26" ht="15.95" customHeight="1" x14ac:dyDescent="0.15">
      <c r="B30" s="91"/>
      <c r="K30" s="110"/>
      <c r="N30" s="71" t="s">
        <v>193</v>
      </c>
      <c r="O30" s="23">
        <f>Z32</f>
        <v>1671313.4310645724</v>
      </c>
      <c r="P30" s="43" t="s">
        <v>469</v>
      </c>
      <c r="Q30" s="71" t="s">
        <v>193</v>
      </c>
      <c r="R30" s="565">
        <v>3779510</v>
      </c>
      <c r="S30" s="86" t="s">
        <v>469</v>
      </c>
      <c r="U30" s="80" t="s">
        <v>177</v>
      </c>
      <c r="V30" s="24">
        <f>X24-Z30</f>
        <v>64.890052356020945</v>
      </c>
      <c r="W30" s="80" t="s">
        <v>178</v>
      </c>
      <c r="X30" s="24">
        <f>Z24-Z31</f>
        <v>0</v>
      </c>
      <c r="Y30" s="80" t="s">
        <v>179</v>
      </c>
      <c r="Z30" s="24">
        <f>Z28/(V22+V23+V24+V25+V26)</f>
        <v>84.109947643979055</v>
      </c>
    </row>
    <row r="31" spans="2:26" ht="15.95" customHeight="1" x14ac:dyDescent="0.15">
      <c r="B31" s="91"/>
      <c r="K31" s="110"/>
      <c r="N31" s="71" t="s">
        <v>194</v>
      </c>
      <c r="O31" s="23">
        <f>Z33</f>
        <v>462398.66666666663</v>
      </c>
      <c r="P31" s="43" t="s">
        <v>469</v>
      </c>
      <c r="Q31" s="71" t="s">
        <v>194</v>
      </c>
      <c r="R31" s="565">
        <v>652452</v>
      </c>
      <c r="S31" s="86" t="s">
        <v>469</v>
      </c>
      <c r="U31" s="80" t="s">
        <v>180</v>
      </c>
      <c r="V31" s="24">
        <f>X25-Z30</f>
        <v>5.890052356020945</v>
      </c>
      <c r="W31" s="80" t="s">
        <v>181</v>
      </c>
      <c r="X31" s="24">
        <f>Z25-Z31</f>
        <v>-29</v>
      </c>
      <c r="Y31" s="80" t="s">
        <v>182</v>
      </c>
      <c r="Z31" s="24">
        <f>Z29/(V22+V23+V24+V25+V26)</f>
        <v>30</v>
      </c>
    </row>
    <row r="32" spans="2:26" ht="15.95" customHeight="1" x14ac:dyDescent="0.15">
      <c r="B32" s="91"/>
      <c r="K32" s="110"/>
      <c r="N32" s="71" t="s">
        <v>890</v>
      </c>
      <c r="O32" s="23">
        <f>Z31</f>
        <v>30</v>
      </c>
      <c r="P32" s="43" t="s">
        <v>458</v>
      </c>
      <c r="Q32" s="71" t="s">
        <v>890</v>
      </c>
      <c r="R32" s="565">
        <v>30</v>
      </c>
      <c r="S32" s="86" t="s">
        <v>468</v>
      </c>
      <c r="U32" s="80" t="s">
        <v>183</v>
      </c>
      <c r="V32" s="24">
        <f>X26-Z30</f>
        <v>5.890052356020945</v>
      </c>
      <c r="W32" s="80" t="s">
        <v>184</v>
      </c>
      <c r="X32" s="24">
        <f>Z26-Z31</f>
        <v>29</v>
      </c>
      <c r="Y32" s="80" t="s">
        <v>185</v>
      </c>
      <c r="Z32" s="24">
        <f>((V36*X36*X36*X36)/12+V22*V28*V28)+((X34*V34*V34*V34)/12+V23*V29*V29)+((X34*V34*V34*V34)/12+V24*V30*V30)+((V35*X35*X35*X35)/12+V25*V31*V31)+((V35*X35*X35*X35)/12+V26*V32*V32)</f>
        <v>1671313.4310645724</v>
      </c>
    </row>
    <row r="33" spans="1:27" ht="15.95" customHeight="1" x14ac:dyDescent="0.15">
      <c r="B33" s="71" t="s">
        <v>196</v>
      </c>
      <c r="C33" s="20" t="s">
        <v>4</v>
      </c>
      <c r="D33" s="155">
        <f>IF($J$19=1, O28,Q19)</f>
        <v>150</v>
      </c>
      <c r="E33" s="43" t="s">
        <v>468</v>
      </c>
      <c r="F33" s="568">
        <v>100</v>
      </c>
      <c r="G33" s="364" t="s">
        <v>468</v>
      </c>
      <c r="K33" s="110"/>
      <c r="N33" s="71" t="s">
        <v>891</v>
      </c>
      <c r="O33" s="23">
        <f>Z30</f>
        <v>84.109947643979055</v>
      </c>
      <c r="P33" s="43" t="s">
        <v>458</v>
      </c>
      <c r="Q33" s="71" t="s">
        <v>891</v>
      </c>
      <c r="R33" s="565">
        <v>95.14</v>
      </c>
      <c r="S33" s="86" t="s">
        <v>468</v>
      </c>
      <c r="U33" s="38"/>
      <c r="V33" s="24"/>
      <c r="W33" s="38"/>
      <c r="X33" s="24"/>
      <c r="Y33" s="80" t="s">
        <v>186</v>
      </c>
      <c r="Z33" s="24">
        <f>((X36*V36*V36*V36)/12+V22*X28*X28)+((V34*X34*X34*X34)/12+V23*X29*X29)+((V34*X34*X34*X34)/12+V24*X30*X30)+((X35*V35*V35*V35)/12+V25*X31*X31)+((X35*V35*V35*V35)/12+V26*X32*X32)</f>
        <v>462398.66666666663</v>
      </c>
    </row>
    <row r="34" spans="1:27" ht="15.95" customHeight="1" x14ac:dyDescent="0.15">
      <c r="B34" s="71" t="s">
        <v>46</v>
      </c>
      <c r="C34" s="20" t="s">
        <v>4</v>
      </c>
      <c r="D34" s="155">
        <f>IF($J$19=1, O22,Q19)</f>
        <v>60</v>
      </c>
      <c r="E34" s="43" t="s">
        <v>468</v>
      </c>
      <c r="F34" s="568">
        <v>50</v>
      </c>
      <c r="G34" s="364" t="s">
        <v>468</v>
      </c>
      <c r="K34" s="110"/>
      <c r="N34" s="71" t="s">
        <v>195</v>
      </c>
      <c r="O34" s="23">
        <f>O30/O33</f>
        <v>19870.579852681814</v>
      </c>
      <c r="P34" s="43" t="s">
        <v>470</v>
      </c>
      <c r="Q34" s="71" t="s">
        <v>195</v>
      </c>
      <c r="R34" s="565">
        <f>R30/R33</f>
        <v>39725.772545722095</v>
      </c>
      <c r="S34" s="86" t="s">
        <v>470</v>
      </c>
      <c r="U34" s="80" t="s">
        <v>462</v>
      </c>
      <c r="V34" s="24">
        <f>O25</f>
        <v>2</v>
      </c>
      <c r="W34" s="80" t="s">
        <v>77</v>
      </c>
      <c r="X34" s="24">
        <f>O29</f>
        <v>56</v>
      </c>
      <c r="Y34" s="38"/>
      <c r="Z34" s="24"/>
    </row>
    <row r="35" spans="1:27" ht="15.95" customHeight="1" thickBot="1" x14ac:dyDescent="0.2">
      <c r="B35" s="71" t="s">
        <v>199</v>
      </c>
      <c r="C35" s="20" t="s">
        <v>4</v>
      </c>
      <c r="D35" s="155">
        <f>IF($J$19=1, O23,Q19)</f>
        <v>120</v>
      </c>
      <c r="E35" s="43" t="s">
        <v>468</v>
      </c>
      <c r="F35" s="160" t="s">
        <v>51</v>
      </c>
      <c r="G35" s="364" t="s">
        <v>468</v>
      </c>
      <c r="K35" s="110"/>
      <c r="N35" s="87" t="s">
        <v>349</v>
      </c>
      <c r="O35" s="152">
        <f>(2*O26*O25*(O22-O26)^2*(O23-O25)^2)/((O22*O26)+(O23*O25)-O26^2-O25^2)</f>
        <v>1064553.0909090908</v>
      </c>
      <c r="P35" s="153" t="s">
        <v>470</v>
      </c>
      <c r="Q35" s="87" t="s">
        <v>304</v>
      </c>
      <c r="R35" s="152">
        <f>(2*R26*R25*(R22-R26)^2*(R23-R25)^2)/((R22*R26)+(R23*R25)-R26^2-R25^2)</f>
        <v>1064553.0909090908</v>
      </c>
      <c r="S35" s="88" t="s">
        <v>471</v>
      </c>
      <c r="U35" s="80" t="s">
        <v>461</v>
      </c>
      <c r="V35" s="24">
        <f>O26</f>
        <v>2</v>
      </c>
      <c r="W35" s="80" t="s">
        <v>463</v>
      </c>
      <c r="X35" s="24">
        <f>O23</f>
        <v>120</v>
      </c>
      <c r="Y35" s="38"/>
      <c r="Z35" s="24"/>
    </row>
    <row r="36" spans="1:27" ht="15.95" customHeight="1" x14ac:dyDescent="0.15">
      <c r="B36" s="71" t="s">
        <v>199</v>
      </c>
      <c r="C36" s="20" t="s">
        <v>4</v>
      </c>
      <c r="D36" s="155">
        <f>IF($J$19=1, O24,Q19)</f>
        <v>30</v>
      </c>
      <c r="E36" s="43" t="s">
        <v>468</v>
      </c>
      <c r="F36" s="160" t="s">
        <v>51</v>
      </c>
      <c r="G36" s="364" t="s">
        <v>468</v>
      </c>
      <c r="H36" s="50"/>
      <c r="K36" s="110"/>
      <c r="U36" s="80" t="s">
        <v>467</v>
      </c>
      <c r="V36" s="24">
        <f>O27</f>
        <v>2</v>
      </c>
      <c r="W36" s="80" t="s">
        <v>464</v>
      </c>
      <c r="X36" s="24">
        <f>O24</f>
        <v>30</v>
      </c>
      <c r="Y36" s="38"/>
      <c r="Z36" s="24"/>
    </row>
    <row r="37" spans="1:27" ht="15.95" customHeight="1" x14ac:dyDescent="0.15">
      <c r="B37" s="71" t="s">
        <v>74</v>
      </c>
      <c r="C37" s="20" t="s">
        <v>4</v>
      </c>
      <c r="D37" s="171">
        <f>IF($J$19=1, O25,Q19)</f>
        <v>2</v>
      </c>
      <c r="E37" s="43" t="s">
        <v>468</v>
      </c>
      <c r="F37" s="568">
        <v>2</v>
      </c>
      <c r="G37" s="364" t="s">
        <v>468</v>
      </c>
      <c r="H37" s="50"/>
      <c r="K37" s="110"/>
      <c r="N37" s="24" t="s">
        <v>205</v>
      </c>
    </row>
    <row r="38" spans="1:27" ht="15.95" customHeight="1" thickBot="1" x14ac:dyDescent="0.2">
      <c r="B38" s="71" t="s">
        <v>466</v>
      </c>
      <c r="C38" s="20" t="s">
        <v>4</v>
      </c>
      <c r="D38" s="155">
        <f>IF($J$19=1, O26,Q19)</f>
        <v>2</v>
      </c>
      <c r="E38" s="43" t="s">
        <v>468</v>
      </c>
      <c r="F38" s="161">
        <f>F37</f>
        <v>2</v>
      </c>
      <c r="G38" s="364" t="s">
        <v>468</v>
      </c>
      <c r="K38" s="110"/>
      <c r="L38" s="81"/>
      <c r="M38" s="81"/>
      <c r="N38" s="24" t="s">
        <v>460</v>
      </c>
      <c r="S38" s="69"/>
      <c r="T38" s="70"/>
    </row>
    <row r="39" spans="1:27" ht="15.95" customHeight="1" x14ac:dyDescent="0.15">
      <c r="B39" s="71" t="s">
        <v>192</v>
      </c>
      <c r="C39" s="20" t="s">
        <v>4</v>
      </c>
      <c r="D39" s="155">
        <f>IF($J$19=1, O27,Q19)</f>
        <v>2</v>
      </c>
      <c r="E39" s="43" t="s">
        <v>468</v>
      </c>
      <c r="F39" s="160" t="s">
        <v>51</v>
      </c>
      <c r="G39" s="364" t="s">
        <v>468</v>
      </c>
      <c r="K39" s="86"/>
      <c r="L39" s="81"/>
      <c r="M39" s="81"/>
      <c r="N39" s="84" t="s">
        <v>193</v>
      </c>
      <c r="O39" s="151">
        <f t="shared" ref="O39:O44" si="0">IF($J$19=1, O30,R30)</f>
        <v>1671313.4310645724</v>
      </c>
      <c r="P39" s="85" t="s">
        <v>469</v>
      </c>
      <c r="Q39" s="72" t="s">
        <v>350</v>
      </c>
      <c r="R39" s="151">
        <f>IF($J$19=1, O29,R22-R26*2)</f>
        <v>56</v>
      </c>
      <c r="S39" s="85" t="s">
        <v>468</v>
      </c>
      <c r="T39" s="44"/>
      <c r="U39" s="44"/>
    </row>
    <row r="40" spans="1:27" ht="15.95" customHeight="1" x14ac:dyDescent="0.15">
      <c r="B40" s="71" t="s">
        <v>361</v>
      </c>
      <c r="C40" s="20" t="s">
        <v>4</v>
      </c>
      <c r="D40" s="167">
        <f t="shared" ref="D40:D45" si="1">O39</f>
        <v>1671313.4310645724</v>
      </c>
      <c r="E40" s="43" t="s">
        <v>469</v>
      </c>
      <c r="F40" s="169">
        <f>(F34*F33^3-(F34-2*F37)*(F33-2*F38)^3)/12</f>
        <v>775178.66666666663</v>
      </c>
      <c r="G40" s="364" t="s">
        <v>469</v>
      </c>
      <c r="H40" s="336" t="s">
        <v>486</v>
      </c>
      <c r="I40" s="20" t="s">
        <v>4</v>
      </c>
      <c r="J40" s="167">
        <f>D40+F40*3</f>
        <v>3996849.4310645722</v>
      </c>
      <c r="K40" s="86" t="s">
        <v>469</v>
      </c>
      <c r="L40" s="81"/>
      <c r="M40" s="81"/>
      <c r="N40" s="71" t="s">
        <v>194</v>
      </c>
      <c r="O40" s="23">
        <f t="shared" si="0"/>
        <v>462398.66666666663</v>
      </c>
      <c r="P40" s="43" t="s">
        <v>469</v>
      </c>
      <c r="Q40" s="73" t="s">
        <v>351</v>
      </c>
      <c r="R40" s="23">
        <f>IF($J$19=1, O23-2*O25,R23-R25*2)</f>
        <v>116</v>
      </c>
      <c r="S40" s="86" t="s">
        <v>468</v>
      </c>
      <c r="U40" s="44"/>
    </row>
    <row r="41" spans="1:27" ht="15.95" customHeight="1" x14ac:dyDescent="0.15">
      <c r="B41" s="71" t="s">
        <v>362</v>
      </c>
      <c r="C41" s="20" t="s">
        <v>4</v>
      </c>
      <c r="D41" s="167">
        <f t="shared" si="1"/>
        <v>462398.66666666663</v>
      </c>
      <c r="E41" s="43" t="s">
        <v>469</v>
      </c>
      <c r="F41" s="169">
        <f>(F33*F34^3-(F33-2*F38)*(F34-2*F37)^3)/12</f>
        <v>262978.66666666669</v>
      </c>
      <c r="G41" s="364" t="s">
        <v>469</v>
      </c>
      <c r="H41" s="336" t="s">
        <v>487</v>
      </c>
      <c r="I41" s="20" t="s">
        <v>4</v>
      </c>
      <c r="J41" s="167">
        <f>D41+F41*3</f>
        <v>1251334.6666666665</v>
      </c>
      <c r="K41" s="86" t="s">
        <v>469</v>
      </c>
      <c r="L41" s="81"/>
      <c r="M41" s="81"/>
      <c r="N41" s="71" t="s">
        <v>890</v>
      </c>
      <c r="O41" s="23">
        <f t="shared" si="0"/>
        <v>30</v>
      </c>
      <c r="P41" s="43" t="s">
        <v>458</v>
      </c>
      <c r="Q41" s="73" t="s">
        <v>352</v>
      </c>
      <c r="R41" s="23">
        <f>IF($J$19=1, O25,R25)</f>
        <v>2</v>
      </c>
      <c r="S41" s="86" t="s">
        <v>468</v>
      </c>
      <c r="T41" s="90"/>
      <c r="U41" s="44"/>
    </row>
    <row r="42" spans="1:27" ht="15.95" customHeight="1" x14ac:dyDescent="0.15">
      <c r="B42" s="71" t="s">
        <v>890</v>
      </c>
      <c r="C42" s="20" t="s">
        <v>4</v>
      </c>
      <c r="D42" s="173">
        <f t="shared" si="1"/>
        <v>30</v>
      </c>
      <c r="E42" s="43" t="s">
        <v>458</v>
      </c>
      <c r="F42" s="179">
        <f>F34/2</f>
        <v>25</v>
      </c>
      <c r="G42" s="364" t="s">
        <v>458</v>
      </c>
      <c r="K42" s="110"/>
      <c r="L42" s="81"/>
      <c r="M42" s="81"/>
      <c r="N42" s="71" t="s">
        <v>891</v>
      </c>
      <c r="O42" s="23">
        <f t="shared" si="0"/>
        <v>84.109947643979055</v>
      </c>
      <c r="P42" s="43" t="s">
        <v>458</v>
      </c>
      <c r="Q42" s="73" t="s">
        <v>353</v>
      </c>
      <c r="R42" s="158">
        <f>IF($J$19=1, O26,R26)</f>
        <v>2</v>
      </c>
      <c r="S42" s="86" t="s">
        <v>468</v>
      </c>
      <c r="T42" s="90"/>
      <c r="U42" s="44"/>
    </row>
    <row r="43" spans="1:27" ht="15.95" customHeight="1" x14ac:dyDescent="0.15">
      <c r="B43" s="71" t="s">
        <v>891</v>
      </c>
      <c r="C43" s="20" t="s">
        <v>4</v>
      </c>
      <c r="D43" s="173">
        <f t="shared" si="1"/>
        <v>84.109947643979055</v>
      </c>
      <c r="E43" s="43" t="s">
        <v>458</v>
      </c>
      <c r="F43" s="179">
        <f>F33/2</f>
        <v>50</v>
      </c>
      <c r="G43" s="364" t="s">
        <v>458</v>
      </c>
      <c r="H43" s="336" t="s">
        <v>407</v>
      </c>
      <c r="I43" s="20" t="s">
        <v>9</v>
      </c>
      <c r="J43" s="108">
        <f>D40/J40</f>
        <v>0.41815771644402761</v>
      </c>
      <c r="K43" s="110"/>
      <c r="L43" s="81"/>
      <c r="M43" s="81"/>
      <c r="N43" s="71" t="s">
        <v>195</v>
      </c>
      <c r="O43" s="23">
        <f t="shared" si="0"/>
        <v>19870.579852681814</v>
      </c>
      <c r="P43" s="43" t="s">
        <v>470</v>
      </c>
      <c r="Q43" s="91"/>
      <c r="R43" s="81"/>
      <c r="S43" s="92"/>
      <c r="T43" s="90"/>
      <c r="U43" s="44"/>
    </row>
    <row r="44" spans="1:27" ht="15.95" customHeight="1" thickBot="1" x14ac:dyDescent="0.2">
      <c r="B44" s="71" t="s">
        <v>360</v>
      </c>
      <c r="C44" s="20" t="s">
        <v>4</v>
      </c>
      <c r="D44" s="167">
        <f t="shared" si="1"/>
        <v>19870.579852681814</v>
      </c>
      <c r="E44" s="43" t="s">
        <v>470</v>
      </c>
      <c r="F44" s="170">
        <f>F40/F43</f>
        <v>15503.573333333332</v>
      </c>
      <c r="G44" s="166" t="s">
        <v>470</v>
      </c>
      <c r="H44" s="363" t="s">
        <v>408</v>
      </c>
      <c r="I44" s="33" t="s">
        <v>9</v>
      </c>
      <c r="J44" s="569">
        <f>1-J43</f>
        <v>0.58184228355597245</v>
      </c>
      <c r="K44" s="141"/>
      <c r="L44" s="81"/>
      <c r="M44" s="81"/>
      <c r="N44" s="87" t="s">
        <v>349</v>
      </c>
      <c r="O44" s="152">
        <f t="shared" si="0"/>
        <v>1064553.0909090908</v>
      </c>
      <c r="P44" s="153" t="s">
        <v>470</v>
      </c>
      <c r="Q44" s="94"/>
      <c r="R44" s="93"/>
      <c r="S44" s="95"/>
      <c r="T44" s="90"/>
      <c r="U44" s="44"/>
    </row>
    <row r="45" spans="1:27" s="38" customFormat="1" ht="15.95" customHeight="1" thickBot="1" x14ac:dyDescent="0.2">
      <c r="A45" s="24"/>
      <c r="B45" s="87" t="s">
        <v>349</v>
      </c>
      <c r="C45" s="33" t="s">
        <v>4</v>
      </c>
      <c r="D45" s="168">
        <f t="shared" si="1"/>
        <v>1064553.0909090908</v>
      </c>
      <c r="E45" s="88" t="s">
        <v>470</v>
      </c>
      <c r="F45" s="89"/>
      <c r="G45" s="81"/>
      <c r="H45" s="81"/>
      <c r="I45" s="24"/>
      <c r="J45" s="24"/>
      <c r="K45" s="81"/>
      <c r="L45" s="81"/>
      <c r="M45" s="81"/>
      <c r="N45" s="24"/>
      <c r="O45" s="24"/>
      <c r="P45" s="24"/>
      <c r="Q45" s="24"/>
      <c r="R45" s="24"/>
      <c r="S45" s="24"/>
      <c r="T45" s="24"/>
      <c r="U45" s="24"/>
      <c r="W45" s="24"/>
      <c r="Y45" s="24"/>
      <c r="AA45" s="24"/>
    </row>
    <row r="46" spans="1:27" s="38" customFormat="1" ht="15.95" customHeight="1" x14ac:dyDescent="0.15">
      <c r="A46" s="24"/>
      <c r="B46" s="708" t="s">
        <v>1000</v>
      </c>
      <c r="C46" s="708"/>
      <c r="D46" s="708"/>
      <c r="E46" s="708"/>
      <c r="F46" s="708"/>
      <c r="G46" s="708"/>
      <c r="H46" s="708"/>
      <c r="I46" s="708"/>
      <c r="J46" s="708"/>
      <c r="K46" s="708"/>
      <c r="L46" s="81"/>
      <c r="M46" s="81"/>
      <c r="N46" s="24"/>
      <c r="O46" s="24"/>
      <c r="P46" s="24"/>
      <c r="Q46" s="24"/>
      <c r="R46" s="24"/>
      <c r="S46" s="24"/>
      <c r="T46" s="24"/>
      <c r="U46" s="24"/>
      <c r="W46" s="24"/>
      <c r="Y46" s="24"/>
      <c r="AA46" s="24"/>
    </row>
    <row r="47" spans="1:27" s="47" customFormat="1" ht="15.95" hidden="1" customHeight="1" x14ac:dyDescent="0.15">
      <c r="B47" s="77" t="s">
        <v>84</v>
      </c>
    </row>
    <row r="48" spans="1:27" s="47" customFormat="1" ht="15.95" hidden="1" customHeight="1" x14ac:dyDescent="0.15"/>
    <row r="49" spans="1:9" s="47" customFormat="1" ht="15.95" hidden="1" customHeight="1" x14ac:dyDescent="0.15">
      <c r="B49" s="46"/>
    </row>
    <row r="50" spans="1:9" s="47" customFormat="1" ht="15.95" hidden="1" customHeight="1" x14ac:dyDescent="0.15">
      <c r="A50" s="48"/>
    </row>
    <row r="51" spans="1:9" s="47" customFormat="1" ht="15.95" hidden="1" customHeight="1" x14ac:dyDescent="0.15">
      <c r="A51" s="48"/>
    </row>
    <row r="52" spans="1:9" s="47" customFormat="1" ht="15.95" hidden="1" customHeight="1" x14ac:dyDescent="0.15">
      <c r="A52" s="48"/>
    </row>
    <row r="53" spans="1:9" s="47" customFormat="1" ht="15.95" hidden="1" customHeight="1" x14ac:dyDescent="0.15">
      <c r="A53" s="48"/>
    </row>
    <row r="54" spans="1:9" s="47" customFormat="1" ht="15.95" hidden="1" customHeight="1" x14ac:dyDescent="0.15">
      <c r="A54" s="48"/>
    </row>
    <row r="55" spans="1:9" s="47" customFormat="1" ht="15.95" hidden="1" customHeight="1" x14ac:dyDescent="0.15">
      <c r="A55" s="48"/>
    </row>
    <row r="56" spans="1:9" s="47" customFormat="1" ht="15.95" hidden="1" customHeight="1" x14ac:dyDescent="0.15">
      <c r="A56" s="48"/>
    </row>
    <row r="57" spans="1:9" s="47" customFormat="1" ht="15.95" hidden="1" customHeight="1" x14ac:dyDescent="0.15">
      <c r="A57" s="48"/>
    </row>
    <row r="58" spans="1:9" s="47" customFormat="1" ht="15.95" hidden="1" customHeight="1" x14ac:dyDescent="0.15">
      <c r="A58" s="48"/>
      <c r="D58" s="36"/>
    </row>
    <row r="59" spans="1:9" s="47" customFormat="1" ht="15.95" hidden="1" customHeight="1" x14ac:dyDescent="0.15">
      <c r="B59" s="24" t="s">
        <v>91</v>
      </c>
    </row>
    <row r="60" spans="1:9" s="47" customFormat="1" ht="15.95" hidden="1" customHeight="1" x14ac:dyDescent="0.15"/>
    <row r="61" spans="1:9" s="47" customFormat="1" ht="15.95" hidden="1" customHeight="1" x14ac:dyDescent="0.15">
      <c r="B61" s="36" t="s">
        <v>7</v>
      </c>
      <c r="C61" s="20" t="s">
        <v>4</v>
      </c>
      <c r="D61" s="36" t="s">
        <v>373</v>
      </c>
    </row>
    <row r="62" spans="1:9" s="47" customFormat="1" ht="15.95" hidden="1" customHeight="1" x14ac:dyDescent="0.15">
      <c r="B62" s="98" t="s">
        <v>8</v>
      </c>
      <c r="C62" s="20" t="s">
        <v>4</v>
      </c>
      <c r="D62" s="36" t="s">
        <v>374</v>
      </c>
      <c r="G62" s="20"/>
      <c r="H62" s="36"/>
    </row>
    <row r="63" spans="1:9" s="47" customFormat="1" ht="15.95" hidden="1" customHeight="1" x14ac:dyDescent="0.15">
      <c r="B63" s="36" t="s">
        <v>85</v>
      </c>
      <c r="C63" s="20" t="s">
        <v>4</v>
      </c>
      <c r="D63" s="36" t="s">
        <v>375</v>
      </c>
      <c r="G63" s="20"/>
    </row>
    <row r="64" spans="1:9" s="47" customFormat="1" ht="15.95" hidden="1" customHeight="1" x14ac:dyDescent="0.15">
      <c r="B64" s="36" t="s">
        <v>86</v>
      </c>
      <c r="C64" s="20" t="s">
        <v>4</v>
      </c>
      <c r="D64" s="36" t="s">
        <v>376</v>
      </c>
      <c r="G64" s="20"/>
      <c r="H64" s="20"/>
      <c r="I64" s="36"/>
    </row>
    <row r="65" spans="1:13" s="47" customFormat="1" ht="15.95" hidden="1" customHeight="1" x14ac:dyDescent="0.15">
      <c r="B65" s="36" t="s">
        <v>372</v>
      </c>
      <c r="C65" s="20" t="s">
        <v>4</v>
      </c>
      <c r="D65" s="36" t="s">
        <v>380</v>
      </c>
      <c r="G65" s="20" t="s">
        <v>9</v>
      </c>
      <c r="H65" s="36" t="s">
        <v>101</v>
      </c>
    </row>
    <row r="66" spans="1:13" s="47" customFormat="1" ht="15.95" hidden="1" customHeight="1" x14ac:dyDescent="0.15">
      <c r="B66" s="36" t="s">
        <v>87</v>
      </c>
      <c r="C66" s="20" t="s">
        <v>4</v>
      </c>
      <c r="D66" s="36" t="s">
        <v>377</v>
      </c>
      <c r="F66" s="48"/>
      <c r="G66" s="20" t="s">
        <v>9</v>
      </c>
      <c r="H66" s="36" t="s">
        <v>102</v>
      </c>
    </row>
    <row r="67" spans="1:13" s="47" customFormat="1" ht="15.95" hidden="1" customHeight="1" x14ac:dyDescent="0.15">
      <c r="B67" s="78" t="s">
        <v>120</v>
      </c>
      <c r="C67" s="20" t="s">
        <v>4</v>
      </c>
      <c r="D67" s="36" t="s">
        <v>381</v>
      </c>
      <c r="F67" s="48"/>
      <c r="H67" s="36" t="s">
        <v>103</v>
      </c>
    </row>
    <row r="68" spans="1:13" s="47" customFormat="1" ht="15.95" hidden="1" customHeight="1" x14ac:dyDescent="0.15"/>
    <row r="69" spans="1:13" s="47" customFormat="1" ht="15.95" hidden="1" customHeight="1" x14ac:dyDescent="0.15">
      <c r="A69" s="48"/>
      <c r="B69" s="24" t="s">
        <v>92</v>
      </c>
    </row>
    <row r="70" spans="1:13" s="47" customFormat="1" ht="15.95" hidden="1" customHeight="1" x14ac:dyDescent="0.15">
      <c r="H70" s="36"/>
    </row>
    <row r="71" spans="1:13" s="47" customFormat="1" ht="15.95" hidden="1" customHeight="1" x14ac:dyDescent="0.15">
      <c r="B71" s="78" t="s">
        <v>1052</v>
      </c>
      <c r="C71" s="37" t="s">
        <v>4</v>
      </c>
      <c r="D71" s="79">
        <f>0.65*ABS(D5/1000*(D7+D8)/2)</f>
        <v>0</v>
      </c>
      <c r="E71" s="24" t="s">
        <v>477</v>
      </c>
      <c r="F71" s="24"/>
      <c r="G71" s="20" t="s">
        <v>9</v>
      </c>
      <c r="H71" s="36" t="s">
        <v>382</v>
      </c>
    </row>
    <row r="72" spans="1:13" s="47" customFormat="1" ht="15.95" hidden="1" customHeight="1" x14ac:dyDescent="0.15">
      <c r="B72" s="78" t="s">
        <v>1054</v>
      </c>
      <c r="C72" s="37" t="s">
        <v>4</v>
      </c>
      <c r="D72" s="79">
        <f>D71</f>
        <v>0</v>
      </c>
      <c r="E72" s="24" t="s">
        <v>477</v>
      </c>
      <c r="F72" s="24"/>
      <c r="G72" s="20" t="s">
        <v>9</v>
      </c>
      <c r="H72" s="36" t="s">
        <v>382</v>
      </c>
      <c r="M72" s="36"/>
    </row>
    <row r="73" spans="1:13" s="47" customFormat="1" ht="15.95" hidden="1" customHeight="1" x14ac:dyDescent="0.15">
      <c r="B73" s="98" t="s">
        <v>378</v>
      </c>
      <c r="C73" s="37" t="s">
        <v>4</v>
      </c>
      <c r="D73" s="172">
        <f>D9</f>
        <v>1000</v>
      </c>
      <c r="E73" s="43" t="s">
        <v>458</v>
      </c>
      <c r="F73" s="24"/>
      <c r="G73" s="20" t="s">
        <v>9</v>
      </c>
      <c r="H73" s="36" t="s">
        <v>402</v>
      </c>
      <c r="M73" s="36"/>
    </row>
    <row r="74" spans="1:13" s="47" customFormat="1" ht="15.95" hidden="1" customHeight="1" x14ac:dyDescent="0.15">
      <c r="B74" s="98" t="s">
        <v>379</v>
      </c>
      <c r="C74" s="37" t="s">
        <v>4</v>
      </c>
      <c r="D74" s="172">
        <f>D10</f>
        <v>4000</v>
      </c>
      <c r="E74" s="43" t="s">
        <v>458</v>
      </c>
      <c r="F74" s="24"/>
      <c r="G74" s="20" t="s">
        <v>9</v>
      </c>
      <c r="H74" s="36" t="s">
        <v>403</v>
      </c>
      <c r="J74" s="52"/>
      <c r="K74" s="37"/>
      <c r="L74" s="75"/>
      <c r="M74" s="48"/>
    </row>
    <row r="75" spans="1:13" s="47" customFormat="1" ht="15.95" hidden="1" customHeight="1" x14ac:dyDescent="0.15">
      <c r="B75" s="36" t="s">
        <v>7</v>
      </c>
      <c r="C75" s="37" t="s">
        <v>4</v>
      </c>
      <c r="D75" s="172">
        <f>D71*D9+D72*D10</f>
        <v>0</v>
      </c>
      <c r="E75" s="24" t="s">
        <v>495</v>
      </c>
      <c r="F75" s="24"/>
      <c r="G75" s="20"/>
      <c r="H75" s="36"/>
    </row>
    <row r="76" spans="1:13" s="47" customFormat="1" ht="15.95" hidden="1" customHeight="1" x14ac:dyDescent="0.15">
      <c r="B76" s="36" t="s">
        <v>8</v>
      </c>
      <c r="C76" s="37" t="s">
        <v>4</v>
      </c>
      <c r="D76" s="34">
        <f>(D78*D73)/(D78*D74)</f>
        <v>0.25</v>
      </c>
      <c r="E76" s="24"/>
      <c r="F76" s="24"/>
      <c r="G76" s="20"/>
    </row>
    <row r="77" spans="1:13" s="47" customFormat="1" ht="15.95" hidden="1" customHeight="1" x14ac:dyDescent="0.15">
      <c r="B77" s="78" t="s">
        <v>5</v>
      </c>
      <c r="C77" s="37" t="s">
        <v>4</v>
      </c>
      <c r="D77" s="172">
        <f>D6</f>
        <v>69637.021649999995</v>
      </c>
      <c r="E77" s="43" t="s">
        <v>457</v>
      </c>
      <c r="G77" s="20" t="s">
        <v>9</v>
      </c>
      <c r="H77" s="36" t="s">
        <v>95</v>
      </c>
    </row>
    <row r="78" spans="1:13" s="47" customFormat="1" ht="15.95" hidden="1" customHeight="1" x14ac:dyDescent="0.15">
      <c r="B78" s="22" t="s">
        <v>405</v>
      </c>
      <c r="C78" s="37" t="s">
        <v>4</v>
      </c>
      <c r="D78" s="172">
        <f>J40</f>
        <v>3996849.4310645722</v>
      </c>
      <c r="E78" s="24" t="s">
        <v>494</v>
      </c>
      <c r="G78" s="20" t="s">
        <v>9</v>
      </c>
      <c r="H78" s="36" t="s">
        <v>406</v>
      </c>
    </row>
    <row r="79" spans="1:13" s="47" customFormat="1" ht="15.95" hidden="1" customHeight="1" x14ac:dyDescent="0.15">
      <c r="F79" s="47" t="s">
        <v>0</v>
      </c>
    </row>
    <row r="80" spans="1:13" s="47" customFormat="1" ht="15.95" hidden="1" customHeight="1" x14ac:dyDescent="0.15">
      <c r="A80" s="123"/>
      <c r="B80" s="24" t="s">
        <v>104</v>
      </c>
    </row>
    <row r="81" spans="1:26" s="47" customFormat="1" ht="15.95" hidden="1" customHeight="1" x14ac:dyDescent="0.15"/>
    <row r="82" spans="1:26" s="47" customFormat="1" ht="15.95" hidden="1" customHeight="1" x14ac:dyDescent="0.15">
      <c r="A82" s="47" t="s">
        <v>1</v>
      </c>
      <c r="B82" s="36" t="s">
        <v>85</v>
      </c>
      <c r="C82" s="37" t="s">
        <v>4</v>
      </c>
      <c r="D82" s="36" t="s">
        <v>375</v>
      </c>
      <c r="H82" s="46"/>
    </row>
    <row r="83" spans="1:26" s="47" customFormat="1" ht="15.95" hidden="1" customHeight="1" x14ac:dyDescent="0.15">
      <c r="B83" s="48"/>
      <c r="C83" s="37" t="s">
        <v>4</v>
      </c>
      <c r="D83" s="172">
        <f>(D71*D73)/2-(D76*D71*D73^2+D72*D74^2)/(8*(1+D76)*D73)</f>
        <v>0</v>
      </c>
      <c r="E83" s="24" t="s">
        <v>495</v>
      </c>
    </row>
    <row r="84" spans="1:26" s="47" customFormat="1" ht="15.95" hidden="1" customHeight="1" x14ac:dyDescent="0.15">
      <c r="B84" s="36" t="s">
        <v>86</v>
      </c>
      <c r="C84" s="37" t="s">
        <v>4</v>
      </c>
      <c r="D84" s="36" t="s">
        <v>376</v>
      </c>
      <c r="H84" s="46"/>
    </row>
    <row r="85" spans="1:26" s="47" customFormat="1" ht="15.95" hidden="1" customHeight="1" x14ac:dyDescent="0.15">
      <c r="B85" s="48"/>
      <c r="C85" s="37" t="s">
        <v>4</v>
      </c>
      <c r="D85" s="172">
        <f>(D72*D74)/2-(D76*D71*D73^2+D72*D74^2)/(8*(1+D76)*D74)</f>
        <v>0</v>
      </c>
      <c r="E85" s="24" t="s">
        <v>495</v>
      </c>
    </row>
    <row r="86" spans="1:26" s="47" customFormat="1" ht="15.95" hidden="1" customHeight="1" x14ac:dyDescent="0.15">
      <c r="B86" s="36" t="s">
        <v>372</v>
      </c>
      <c r="C86" s="37" t="s">
        <v>4</v>
      </c>
      <c r="D86" s="36" t="s">
        <v>380</v>
      </c>
      <c r="H86" s="46"/>
    </row>
    <row r="87" spans="1:26" s="47" customFormat="1" ht="15.95" hidden="1" customHeight="1" x14ac:dyDescent="0.15">
      <c r="B87" s="48"/>
      <c r="C87" s="37" t="s">
        <v>4</v>
      </c>
      <c r="D87" s="172">
        <f>D75-D83-D85</f>
        <v>0</v>
      </c>
      <c r="E87" s="24" t="s">
        <v>495</v>
      </c>
      <c r="J87" s="43"/>
    </row>
    <row r="88" spans="1:26" s="47" customFormat="1" ht="15.95" hidden="1" customHeight="1" x14ac:dyDescent="0.15">
      <c r="B88" s="36" t="s">
        <v>87</v>
      </c>
      <c r="C88" s="37" t="s">
        <v>4</v>
      </c>
      <c r="D88" s="36" t="s">
        <v>377</v>
      </c>
      <c r="H88" s="46"/>
      <c r="J88" s="24"/>
      <c r="M88" s="12"/>
      <c r="N88" s="172"/>
      <c r="O88" s="43"/>
    </row>
    <row r="89" spans="1:26" s="47" customFormat="1" ht="15.95" hidden="1" customHeight="1" x14ac:dyDescent="0.15">
      <c r="C89" s="37" t="s">
        <v>4</v>
      </c>
      <c r="D89" s="172">
        <f>(D76*D71*D73^2+D72*D74^2)/(8*(1+D76))</f>
        <v>0</v>
      </c>
      <c r="E89" s="43" t="s">
        <v>497</v>
      </c>
      <c r="J89" s="24"/>
      <c r="M89" s="12"/>
      <c r="N89" s="334"/>
      <c r="O89" s="12"/>
    </row>
    <row r="90" spans="1:26" s="47" customFormat="1" ht="15.95" hidden="1" customHeight="1" x14ac:dyDescent="0.15">
      <c r="B90" s="78" t="s">
        <v>120</v>
      </c>
      <c r="C90" s="37" t="s">
        <v>4</v>
      </c>
      <c r="D90" s="36" t="s">
        <v>383</v>
      </c>
      <c r="H90" s="46"/>
      <c r="J90" s="43"/>
      <c r="M90" s="12"/>
      <c r="N90" s="332"/>
      <c r="O90" s="43"/>
    </row>
    <row r="91" spans="1:26" s="47" customFormat="1" ht="15.95" hidden="1" customHeight="1" x14ac:dyDescent="0.15">
      <c r="B91" s="124"/>
      <c r="C91" s="37" t="s">
        <v>4</v>
      </c>
      <c r="D91" s="79">
        <f>(5*D72*D74^4/(384*D77*D78))-(D89*D74^2/(16*D77*D78))</f>
        <v>0</v>
      </c>
      <c r="E91" s="43" t="s">
        <v>496</v>
      </c>
      <c r="M91" s="12"/>
      <c r="N91" s="334"/>
      <c r="O91" s="12"/>
    </row>
    <row r="92" spans="1:26" s="47" customFormat="1" ht="15.95" hidden="1" customHeight="1" x14ac:dyDescent="0.15">
      <c r="B92" s="124"/>
      <c r="C92" s="37"/>
    </row>
    <row r="93" spans="1:26" ht="15.95" hidden="1" customHeight="1" x14ac:dyDescent="0.15">
      <c r="A93" s="43"/>
      <c r="B93" s="77" t="s">
        <v>144</v>
      </c>
      <c r="C93" s="43"/>
      <c r="D93" s="43"/>
      <c r="E93" s="43"/>
      <c r="F93" s="43"/>
      <c r="G93" s="43"/>
      <c r="H93" s="43"/>
      <c r="I93" s="43"/>
      <c r="J93" s="43"/>
      <c r="K93" s="43"/>
      <c r="L93" s="43"/>
      <c r="N93" s="45" t="s">
        <v>355</v>
      </c>
      <c r="O93" s="361">
        <f>G6</f>
        <v>5</v>
      </c>
      <c r="P93" s="46"/>
    </row>
    <row r="94" spans="1:26" s="47" customFormat="1" ht="15.95" hidden="1" customHeight="1" x14ac:dyDescent="0.15">
      <c r="J94" s="48"/>
      <c r="K94" s="37"/>
      <c r="L94" s="48"/>
      <c r="M94" s="48"/>
      <c r="N94" s="37"/>
      <c r="O94" s="37"/>
      <c r="P94" s="37"/>
      <c r="V94" s="52"/>
      <c r="X94" s="52"/>
      <c r="Z94" s="52"/>
    </row>
    <row r="95" spans="1:26" s="47" customFormat="1" ht="15.95" hidden="1" customHeight="1" x14ac:dyDescent="0.15">
      <c r="A95" s="24"/>
      <c r="B95" s="49" t="s">
        <v>289</v>
      </c>
      <c r="C95" s="49"/>
      <c r="G95" s="50" t="s">
        <v>290</v>
      </c>
      <c r="H95" s="101"/>
      <c r="I95" s="43"/>
      <c r="J95" s="102"/>
      <c r="K95" s="51"/>
      <c r="L95" s="24"/>
      <c r="M95" s="24"/>
      <c r="N95" s="52" t="s">
        <v>291</v>
      </c>
      <c r="O95" s="360">
        <v>14</v>
      </c>
      <c r="P95" s="24"/>
      <c r="S95" s="24"/>
      <c r="V95" s="52"/>
      <c r="X95" s="52"/>
      <c r="Z95" s="52"/>
    </row>
    <row r="96" spans="1:26" s="47" customFormat="1" ht="15.95" hidden="1" customHeight="1" x14ac:dyDescent="0.15">
      <c r="A96" s="24"/>
      <c r="B96" s="49"/>
      <c r="C96" s="24"/>
      <c r="D96" s="24"/>
      <c r="E96" s="24"/>
      <c r="G96" s="37"/>
      <c r="I96" s="24"/>
      <c r="J96" s="49"/>
      <c r="K96" s="38"/>
      <c r="L96" s="24"/>
      <c r="M96" s="38" t="s">
        <v>292</v>
      </c>
      <c r="N96" s="103">
        <v>5</v>
      </c>
      <c r="O96" s="103">
        <v>6</v>
      </c>
      <c r="Q96" s="702" t="s">
        <v>293</v>
      </c>
      <c r="R96" s="703"/>
      <c r="S96" s="704" t="s">
        <v>328</v>
      </c>
      <c r="T96" s="705"/>
      <c r="U96" s="706"/>
      <c r="V96" s="52"/>
      <c r="X96" s="52"/>
      <c r="Z96" s="52"/>
    </row>
    <row r="97" spans="1:26" s="47" customFormat="1" ht="15.95" hidden="1" customHeight="1" x14ac:dyDescent="0.15">
      <c r="A97" s="24"/>
      <c r="B97" s="36" t="s">
        <v>344</v>
      </c>
      <c r="C97" s="20" t="s">
        <v>4</v>
      </c>
      <c r="D97" s="176">
        <f>D11</f>
        <v>2600</v>
      </c>
      <c r="E97" s="29" t="s">
        <v>479</v>
      </c>
      <c r="F97" s="24"/>
      <c r="G97" s="36" t="s">
        <v>294</v>
      </c>
      <c r="H97" s="20" t="s">
        <v>295</v>
      </c>
      <c r="I97" s="155">
        <f>2*D97*D99/(SQRT(D98*D100))</f>
        <v>147.27259356576931</v>
      </c>
      <c r="K97" s="38"/>
      <c r="L97" s="24"/>
      <c r="M97" s="24"/>
      <c r="N97" s="53">
        <v>0</v>
      </c>
      <c r="O97" s="53">
        <v>0</v>
      </c>
      <c r="P97" s="37" t="s">
        <v>296</v>
      </c>
      <c r="Q97" s="54" t="s">
        <v>297</v>
      </c>
      <c r="R97" s="55" t="s">
        <v>298</v>
      </c>
      <c r="S97" s="55">
        <v>1</v>
      </c>
      <c r="T97" s="56">
        <f>IF(O93=5, N97, O97)</f>
        <v>0</v>
      </c>
      <c r="U97" s="55" t="str">
        <f>P97</f>
        <v>S  ≤  S₁</v>
      </c>
      <c r="V97" s="52"/>
      <c r="X97" s="52"/>
      <c r="Z97" s="52"/>
    </row>
    <row r="98" spans="1:26" s="47" customFormat="1" ht="15.95" hidden="1" customHeight="1" x14ac:dyDescent="0.15">
      <c r="A98" s="24"/>
      <c r="B98" s="36" t="s">
        <v>299</v>
      </c>
      <c r="C98" s="20" t="s">
        <v>4</v>
      </c>
      <c r="D98" s="176">
        <f>D41</f>
        <v>462398.66666666663</v>
      </c>
      <c r="E98" s="29" t="s">
        <v>475</v>
      </c>
      <c r="F98" s="24"/>
      <c r="G98" s="57" t="s">
        <v>300</v>
      </c>
      <c r="H98" s="38"/>
      <c r="I98" s="38"/>
      <c r="J98" s="52"/>
      <c r="K98" s="38"/>
      <c r="L98" s="24"/>
      <c r="M98" s="24"/>
      <c r="N98" s="58">
        <v>0</v>
      </c>
      <c r="O98" s="58">
        <v>0</v>
      </c>
      <c r="P98" s="37" t="s">
        <v>301</v>
      </c>
      <c r="Q98" s="59">
        <f>IF(O93=5, N98,O98)</f>
        <v>0</v>
      </c>
      <c r="R98" s="60">
        <f>IF(O93=5,N100,O100)</f>
        <v>3823</v>
      </c>
      <c r="S98" s="62">
        <v>2</v>
      </c>
      <c r="T98" s="61">
        <f>IF(O93=5, N99, O99)</f>
        <v>9.6505085589175899</v>
      </c>
      <c r="U98" s="62" t="str">
        <f>P99</f>
        <v>S₁&lt;  S  &lt; S₂</v>
      </c>
      <c r="V98" s="52"/>
      <c r="X98" s="52"/>
      <c r="Z98" s="52"/>
    </row>
    <row r="99" spans="1:26" s="47" customFormat="1" ht="15.95" hidden="1" customHeight="1" x14ac:dyDescent="0.15">
      <c r="B99" s="36" t="s">
        <v>134</v>
      </c>
      <c r="C99" s="20" t="s">
        <v>4</v>
      </c>
      <c r="D99" s="176">
        <f>D44</f>
        <v>19870.579852681814</v>
      </c>
      <c r="E99" s="29" t="s">
        <v>471</v>
      </c>
      <c r="G99" s="36" t="str">
        <f>U101</f>
        <v>S₁&lt;  S  &lt; S₂</v>
      </c>
      <c r="J99" s="24"/>
      <c r="K99" s="38"/>
      <c r="L99" s="24"/>
      <c r="M99" s="24"/>
      <c r="N99" s="58">
        <f>10.5-0.07*SQRT(I97)</f>
        <v>9.6505085589175899</v>
      </c>
      <c r="O99" s="58">
        <f>16.7-0.14*SQRT(I97)</f>
        <v>15.001017117835179</v>
      </c>
      <c r="P99" s="37" t="s">
        <v>302</v>
      </c>
      <c r="Q99" s="104" t="s">
        <v>303</v>
      </c>
      <c r="S99" s="60">
        <v>3</v>
      </c>
      <c r="T99" s="63">
        <f>IF(O93=5, N101, O101)</f>
        <v>160.24026893680735</v>
      </c>
      <c r="U99" s="60" t="str">
        <f>P101</f>
        <v>S  ≥  S₂</v>
      </c>
      <c r="V99" s="52"/>
      <c r="X99" s="52"/>
      <c r="Z99" s="52"/>
    </row>
    <row r="100" spans="1:26" s="47" customFormat="1" ht="15.95" hidden="1" customHeight="1" thickBot="1" x14ac:dyDescent="0.2">
      <c r="A100" s="24"/>
      <c r="B100" s="36" t="s">
        <v>304</v>
      </c>
      <c r="C100" s="20" t="s">
        <v>4</v>
      </c>
      <c r="D100" s="176">
        <f>D45</f>
        <v>1064553.0909090908</v>
      </c>
      <c r="E100" s="29" t="s">
        <v>475</v>
      </c>
      <c r="F100" s="38"/>
      <c r="H100" s="38"/>
      <c r="I100" s="24"/>
      <c r="J100" s="24"/>
      <c r="K100" s="24"/>
      <c r="L100" s="24"/>
      <c r="M100" s="24"/>
      <c r="N100" s="58">
        <v>3823</v>
      </c>
      <c r="O100" s="58">
        <v>2400</v>
      </c>
      <c r="P100" s="37" t="s">
        <v>306</v>
      </c>
      <c r="Q100" s="55" t="s">
        <v>307</v>
      </c>
      <c r="V100" s="52"/>
      <c r="X100" s="52"/>
      <c r="Z100" s="52"/>
    </row>
    <row r="101" spans="1:26" s="47" customFormat="1" ht="15.95" hidden="1" customHeight="1" thickBot="1" x14ac:dyDescent="0.2">
      <c r="A101" s="24"/>
      <c r="B101" s="36" t="s">
        <v>308</v>
      </c>
      <c r="C101" s="20" t="s">
        <v>4</v>
      </c>
      <c r="D101" s="24">
        <f>T101</f>
        <v>9.6505085589175899</v>
      </c>
      <c r="E101" s="29" t="s">
        <v>187</v>
      </c>
      <c r="F101" s="38"/>
      <c r="K101" s="24"/>
      <c r="L101" s="24"/>
      <c r="M101" s="24"/>
      <c r="N101" s="64">
        <f>23599/I97</f>
        <v>160.24026893680735</v>
      </c>
      <c r="O101" s="64">
        <f>23599/I97</f>
        <v>160.24026893680735</v>
      </c>
      <c r="P101" s="37" t="s">
        <v>309</v>
      </c>
      <c r="Q101" s="60">
        <f>I97</f>
        <v>147.27259356576931</v>
      </c>
      <c r="S101" s="105">
        <f>IF(Q101&lt;=Q98,1,IF(AND(Q101&gt;Q98,Q101&lt;R98),2,3))</f>
        <v>2</v>
      </c>
      <c r="T101" s="65">
        <f>VLOOKUP(S101, S97:T99, 2, FALSE)</f>
        <v>9.6505085589175899</v>
      </c>
      <c r="U101" s="66" t="str">
        <f>VLOOKUP(S101,S97:U99, 3, FALSE)</f>
        <v>S₁&lt;  S  &lt; S₂</v>
      </c>
      <c r="V101" s="52"/>
      <c r="X101" s="52"/>
      <c r="Z101" s="52"/>
    </row>
    <row r="102" spans="1:26" s="47" customFormat="1" ht="15.95" hidden="1" customHeight="1" x14ac:dyDescent="0.15">
      <c r="A102" s="24"/>
      <c r="C102" s="20" t="s">
        <v>4</v>
      </c>
      <c r="D102" s="29">
        <f>D101*6.894757</f>
        <v>66.537911440156961</v>
      </c>
      <c r="E102" s="29" t="s">
        <v>457</v>
      </c>
      <c r="F102" s="38"/>
      <c r="G102" s="38"/>
      <c r="H102" s="38"/>
      <c r="I102" s="24"/>
      <c r="J102" s="24"/>
      <c r="K102" s="24"/>
      <c r="L102" s="24"/>
      <c r="M102" s="24"/>
      <c r="V102" s="52"/>
      <c r="X102" s="52"/>
      <c r="Z102" s="52"/>
    </row>
    <row r="103" spans="1:26" s="47" customFormat="1" ht="15.95" hidden="1" customHeight="1" x14ac:dyDescent="0.15">
      <c r="A103" s="24"/>
      <c r="C103" s="20"/>
      <c r="D103" s="29"/>
      <c r="E103" s="29"/>
      <c r="F103" s="38"/>
      <c r="G103" s="38"/>
      <c r="H103" s="38"/>
      <c r="I103" s="24"/>
      <c r="J103" s="24"/>
      <c r="K103" s="24"/>
      <c r="L103" s="24"/>
      <c r="M103" s="24"/>
      <c r="V103" s="52"/>
      <c r="X103" s="52"/>
      <c r="Z103" s="52"/>
    </row>
    <row r="104" spans="1:26" s="47" customFormat="1" ht="15.95" hidden="1" customHeight="1" x14ac:dyDescent="0.15">
      <c r="A104" s="24"/>
      <c r="B104" s="49" t="s">
        <v>310</v>
      </c>
      <c r="C104" s="49"/>
      <c r="D104" s="156"/>
      <c r="E104" s="156"/>
      <c r="G104" s="50" t="s">
        <v>311</v>
      </c>
      <c r="H104" s="101"/>
      <c r="I104" s="38"/>
      <c r="J104" s="102"/>
      <c r="K104" s="24"/>
      <c r="L104" s="24"/>
      <c r="M104" s="24"/>
      <c r="N104" s="52" t="s">
        <v>291</v>
      </c>
      <c r="O104" s="360">
        <v>16</v>
      </c>
      <c r="P104" s="24"/>
      <c r="S104" s="24"/>
      <c r="V104" s="52"/>
      <c r="X104" s="52"/>
      <c r="Z104" s="52"/>
    </row>
    <row r="105" spans="1:26" s="47" customFormat="1" ht="15.95" hidden="1" customHeight="1" x14ac:dyDescent="0.15">
      <c r="A105" s="24"/>
      <c r="B105" s="49"/>
      <c r="C105" s="49"/>
      <c r="D105" s="156"/>
      <c r="E105" s="156"/>
      <c r="F105" s="49"/>
      <c r="G105" s="49"/>
      <c r="H105" s="49"/>
      <c r="I105" s="24"/>
      <c r="J105" s="49"/>
      <c r="K105" s="24"/>
      <c r="L105" s="24"/>
      <c r="M105" s="38" t="s">
        <v>292</v>
      </c>
      <c r="N105" s="103">
        <v>5</v>
      </c>
      <c r="O105" s="103">
        <v>6</v>
      </c>
      <c r="Q105" s="702" t="s">
        <v>293</v>
      </c>
      <c r="R105" s="703"/>
      <c r="S105" s="704" t="s">
        <v>328</v>
      </c>
      <c r="T105" s="705"/>
      <c r="U105" s="706"/>
      <c r="V105" s="52"/>
      <c r="X105" s="52"/>
      <c r="Z105" s="52"/>
    </row>
    <row r="106" spans="1:26" s="47" customFormat="1" ht="15.95" hidden="1" customHeight="1" x14ac:dyDescent="0.15">
      <c r="A106" s="24"/>
      <c r="B106" s="36" t="s">
        <v>77</v>
      </c>
      <c r="C106" s="20" t="s">
        <v>4</v>
      </c>
      <c r="D106" s="23">
        <f>R39</f>
        <v>56</v>
      </c>
      <c r="E106" s="29" t="s">
        <v>479</v>
      </c>
      <c r="F106" s="24"/>
      <c r="G106" s="36" t="str">
        <f>U110</f>
        <v>S₁&lt;  S  &lt; S₂</v>
      </c>
      <c r="K106" s="24"/>
      <c r="L106" s="24"/>
      <c r="M106" s="24"/>
      <c r="N106" s="53">
        <v>9.6999999999999993</v>
      </c>
      <c r="O106" s="53">
        <v>15.2</v>
      </c>
      <c r="P106" s="37" t="s">
        <v>296</v>
      </c>
      <c r="Q106" s="54" t="s">
        <v>297</v>
      </c>
      <c r="R106" s="55" t="s">
        <v>298</v>
      </c>
      <c r="S106" s="55">
        <v>1</v>
      </c>
      <c r="T106" s="56">
        <f>IF(O93=5, N106, O106)</f>
        <v>9.6999999999999993</v>
      </c>
      <c r="U106" s="55" t="str">
        <f>P106</f>
        <v>S  ≤  S₁</v>
      </c>
      <c r="V106" s="52"/>
      <c r="X106" s="52"/>
      <c r="Z106" s="52"/>
    </row>
    <row r="107" spans="1:26" s="47" customFormat="1" ht="15.95" hidden="1" customHeight="1" x14ac:dyDescent="0.15">
      <c r="A107" s="24"/>
      <c r="B107" s="36" t="s">
        <v>333</v>
      </c>
      <c r="C107" s="20" t="s">
        <v>4</v>
      </c>
      <c r="D107" s="23">
        <f>R41</f>
        <v>2</v>
      </c>
      <c r="E107" s="29" t="s">
        <v>479</v>
      </c>
      <c r="G107" s="24"/>
      <c r="H107" s="24"/>
      <c r="I107" s="24"/>
      <c r="J107" s="24"/>
      <c r="K107" s="24"/>
      <c r="L107" s="24"/>
      <c r="M107" s="24"/>
      <c r="N107" s="58">
        <v>25.6</v>
      </c>
      <c r="O107" s="58">
        <v>22.8</v>
      </c>
      <c r="P107" s="37" t="s">
        <v>301</v>
      </c>
      <c r="Q107" s="59">
        <f>IF(O93=5, N107,O107)</f>
        <v>25.6</v>
      </c>
      <c r="R107" s="60">
        <f>IF(O93=5,N109,O109)</f>
        <v>50</v>
      </c>
      <c r="S107" s="62">
        <v>2</v>
      </c>
      <c r="T107" s="61">
        <f>IF(O93=5, N108, O108)</f>
        <v>9.4760000000000009</v>
      </c>
      <c r="U107" s="62" t="str">
        <f>P108</f>
        <v>S₁&lt;  S  &lt; S₂</v>
      </c>
      <c r="V107" s="52"/>
      <c r="X107" s="52"/>
      <c r="Z107" s="52"/>
    </row>
    <row r="108" spans="1:26" s="47" customFormat="1" ht="15.95" hidden="1" customHeight="1" x14ac:dyDescent="0.15">
      <c r="A108" s="24"/>
      <c r="B108" s="36" t="s">
        <v>356</v>
      </c>
      <c r="C108" s="20" t="s">
        <v>4</v>
      </c>
      <c r="D108" s="23">
        <f>D106/D107</f>
        <v>28</v>
      </c>
      <c r="E108" s="29"/>
      <c r="F108" s="24"/>
      <c r="H108" s="24"/>
      <c r="I108" s="24"/>
      <c r="J108" s="24"/>
      <c r="K108" s="24"/>
      <c r="L108" s="24"/>
      <c r="M108" s="24"/>
      <c r="N108" s="58">
        <f>11.8-0.083*D108</f>
        <v>9.4760000000000009</v>
      </c>
      <c r="O108" s="58">
        <f>19-0.17*(D108)</f>
        <v>14.239999999999998</v>
      </c>
      <c r="P108" s="37" t="s">
        <v>302</v>
      </c>
      <c r="Q108" s="104" t="s">
        <v>303</v>
      </c>
      <c r="S108" s="60">
        <v>3</v>
      </c>
      <c r="T108" s="63">
        <f>IF(O93=5, N110, O110)</f>
        <v>13.642857142857142</v>
      </c>
      <c r="U108" s="60" t="str">
        <f>P110</f>
        <v>S  ≥  S₂</v>
      </c>
      <c r="V108" s="52"/>
      <c r="X108" s="52"/>
      <c r="Z108" s="52"/>
    </row>
    <row r="109" spans="1:26" s="47" customFormat="1" ht="15.95" hidden="1" customHeight="1" thickBot="1" x14ac:dyDescent="0.2">
      <c r="A109" s="24"/>
      <c r="B109" s="36" t="s">
        <v>319</v>
      </c>
      <c r="C109" s="20" t="s">
        <v>4</v>
      </c>
      <c r="D109" s="24">
        <f>T110</f>
        <v>9.4760000000000009</v>
      </c>
      <c r="E109" s="29" t="s">
        <v>187</v>
      </c>
      <c r="F109" s="24"/>
      <c r="G109" s="24"/>
      <c r="H109" s="24"/>
      <c r="I109" s="24"/>
      <c r="J109" s="24"/>
      <c r="K109" s="24"/>
      <c r="L109" s="24"/>
      <c r="M109" s="24"/>
      <c r="N109" s="58">
        <v>50</v>
      </c>
      <c r="O109" s="58">
        <v>39</v>
      </c>
      <c r="P109" s="37" t="s">
        <v>306</v>
      </c>
      <c r="Q109" s="55" t="s">
        <v>307</v>
      </c>
      <c r="V109" s="52"/>
      <c r="X109" s="52"/>
      <c r="Z109" s="52"/>
    </row>
    <row r="110" spans="1:26" s="47" customFormat="1" ht="15.95" hidden="1" customHeight="1" thickBot="1" x14ac:dyDescent="0.2">
      <c r="A110" s="24"/>
      <c r="B110" s="43"/>
      <c r="C110" s="20" t="s">
        <v>4</v>
      </c>
      <c r="D110" s="29">
        <f>D109*6.894757</f>
        <v>65.334717332000011</v>
      </c>
      <c r="E110" s="29" t="s">
        <v>457</v>
      </c>
      <c r="F110" s="24"/>
      <c r="G110" s="24"/>
      <c r="H110" s="24"/>
      <c r="I110" s="24"/>
      <c r="J110" s="24"/>
      <c r="K110" s="24"/>
      <c r="L110" s="24"/>
      <c r="M110" s="24"/>
      <c r="N110" s="64">
        <f>382/D108</f>
        <v>13.642857142857142</v>
      </c>
      <c r="O110" s="64">
        <f>484/D108</f>
        <v>17.285714285714285</v>
      </c>
      <c r="P110" s="37" t="s">
        <v>309</v>
      </c>
      <c r="Q110" s="60">
        <f>D108</f>
        <v>28</v>
      </c>
      <c r="S110" s="105">
        <f>IF(Q110&lt;=Q107,1,IF(AND(Q110&gt;Q107,Q110&lt;R107),2,3))</f>
        <v>2</v>
      </c>
      <c r="T110" s="65">
        <f>VLOOKUP(S110, S106:T108, 2, FALSE)</f>
        <v>9.4760000000000009</v>
      </c>
      <c r="U110" s="66" t="str">
        <f>VLOOKUP(S110,S106:U108, 3, FALSE)</f>
        <v>S₁&lt;  S  &lt; S₂</v>
      </c>
      <c r="V110" s="52"/>
      <c r="X110" s="52"/>
      <c r="Z110" s="52"/>
    </row>
    <row r="111" spans="1:26" s="47" customFormat="1" ht="15.95" hidden="1" customHeight="1" x14ac:dyDescent="0.15">
      <c r="A111" s="24"/>
      <c r="C111" s="20"/>
      <c r="D111" s="29"/>
      <c r="E111" s="29"/>
      <c r="F111" s="38"/>
      <c r="G111" s="38"/>
      <c r="H111" s="38"/>
      <c r="I111" s="24"/>
      <c r="J111" s="24"/>
      <c r="K111" s="24"/>
      <c r="L111" s="24"/>
      <c r="M111" s="24"/>
      <c r="V111" s="52"/>
      <c r="X111" s="52"/>
      <c r="Z111" s="52"/>
    </row>
    <row r="112" spans="1:26" s="47" customFormat="1" ht="15.95" hidden="1" customHeight="1" x14ac:dyDescent="0.15">
      <c r="A112" s="24"/>
      <c r="B112" s="49" t="s">
        <v>310</v>
      </c>
      <c r="C112" s="49"/>
      <c r="D112" s="156"/>
      <c r="E112" s="156"/>
      <c r="F112" s="49"/>
      <c r="G112" s="50" t="s">
        <v>324</v>
      </c>
      <c r="H112" s="101"/>
      <c r="I112" s="24"/>
      <c r="J112" s="49"/>
      <c r="K112" s="24"/>
      <c r="L112" s="24"/>
      <c r="M112" s="24"/>
      <c r="N112" s="52" t="s">
        <v>291</v>
      </c>
      <c r="O112" s="360">
        <v>18</v>
      </c>
      <c r="P112" s="24"/>
      <c r="S112" s="24"/>
      <c r="V112" s="52"/>
      <c r="X112" s="52"/>
      <c r="Z112" s="52"/>
    </row>
    <row r="113" spans="1:26" s="47" customFormat="1" ht="15.95" hidden="1" customHeight="1" x14ac:dyDescent="0.15">
      <c r="A113" s="24"/>
      <c r="B113" s="49"/>
      <c r="C113" s="49"/>
      <c r="D113" s="156"/>
      <c r="E113" s="156"/>
      <c r="F113" s="49"/>
      <c r="G113" s="49"/>
      <c r="H113" s="49"/>
      <c r="I113" s="24"/>
      <c r="J113" s="49"/>
      <c r="K113" s="24"/>
      <c r="L113" s="24"/>
      <c r="M113" s="38" t="s">
        <v>292</v>
      </c>
      <c r="N113" s="103">
        <v>5</v>
      </c>
      <c r="O113" s="103">
        <v>6</v>
      </c>
      <c r="Q113" s="702" t="s">
        <v>293</v>
      </c>
      <c r="R113" s="703"/>
      <c r="S113" s="704" t="s">
        <v>328</v>
      </c>
      <c r="T113" s="705"/>
      <c r="U113" s="706"/>
      <c r="V113" s="52"/>
      <c r="X113" s="52"/>
      <c r="Z113" s="52"/>
    </row>
    <row r="114" spans="1:26" s="47" customFormat="1" ht="15.95" hidden="1" customHeight="1" x14ac:dyDescent="0.15">
      <c r="A114" s="24"/>
      <c r="B114" s="36" t="s">
        <v>76</v>
      </c>
      <c r="C114" s="20" t="s">
        <v>4</v>
      </c>
      <c r="D114" s="23">
        <f>R40</f>
        <v>116</v>
      </c>
      <c r="E114" s="29" t="s">
        <v>479</v>
      </c>
      <c r="F114" s="24"/>
      <c r="G114" s="36" t="str">
        <f>U118</f>
        <v>S  ≤  S₁</v>
      </c>
      <c r="K114" s="24"/>
      <c r="L114" s="24"/>
      <c r="M114" s="24"/>
      <c r="N114" s="53">
        <v>12.6</v>
      </c>
      <c r="O114" s="53">
        <v>19.7</v>
      </c>
      <c r="P114" s="37" t="s">
        <v>296</v>
      </c>
      <c r="Q114" s="54" t="s">
        <v>297</v>
      </c>
      <c r="R114" s="55" t="s">
        <v>298</v>
      </c>
      <c r="S114" s="55">
        <v>1</v>
      </c>
      <c r="T114" s="56">
        <f>IF(O93=5, N114, O114)</f>
        <v>12.6</v>
      </c>
      <c r="U114" s="55" t="str">
        <f>P114</f>
        <v>S  ≤  S₁</v>
      </c>
      <c r="V114" s="52"/>
      <c r="X114" s="52"/>
      <c r="Z114" s="52"/>
    </row>
    <row r="115" spans="1:26" s="47" customFormat="1" ht="15.95" hidden="1" customHeight="1" x14ac:dyDescent="0.15">
      <c r="A115" s="24"/>
      <c r="B115" s="36" t="s">
        <v>333</v>
      </c>
      <c r="C115" s="20" t="s">
        <v>4</v>
      </c>
      <c r="D115" s="23">
        <f>R42</f>
        <v>2</v>
      </c>
      <c r="E115" s="29" t="s">
        <v>479</v>
      </c>
      <c r="F115" s="24"/>
      <c r="H115" s="24"/>
      <c r="I115" s="24"/>
      <c r="J115" s="24"/>
      <c r="K115" s="24"/>
      <c r="L115" s="24"/>
      <c r="M115" s="24"/>
      <c r="N115" s="58">
        <v>61</v>
      </c>
      <c r="O115" s="58">
        <v>54.9</v>
      </c>
      <c r="P115" s="37" t="s">
        <v>301</v>
      </c>
      <c r="Q115" s="59">
        <f>IF(O93=5, N115,O115)</f>
        <v>61</v>
      </c>
      <c r="R115" s="60">
        <f>IF(O93=5,N117,O117)</f>
        <v>115</v>
      </c>
      <c r="S115" s="62">
        <v>2</v>
      </c>
      <c r="T115" s="61">
        <f>IF(O93=5, N116, O116)</f>
        <v>12.808000000000002</v>
      </c>
      <c r="U115" s="62" t="str">
        <f>P116</f>
        <v>S₁&lt;  S  &lt; S₂</v>
      </c>
      <c r="V115" s="52"/>
      <c r="X115" s="52"/>
      <c r="Z115" s="52"/>
    </row>
    <row r="116" spans="1:26" s="47" customFormat="1" ht="15.95" hidden="1" customHeight="1" x14ac:dyDescent="0.15">
      <c r="A116" s="24"/>
      <c r="B116" s="36" t="s">
        <v>357</v>
      </c>
      <c r="C116" s="20" t="s">
        <v>4</v>
      </c>
      <c r="D116" s="23">
        <f>D114/D115</f>
        <v>58</v>
      </c>
      <c r="E116" s="29"/>
      <c r="F116" s="24"/>
      <c r="H116" s="24"/>
      <c r="I116" s="24"/>
      <c r="J116" s="24"/>
      <c r="K116" s="24"/>
      <c r="L116" s="24"/>
      <c r="M116" s="24"/>
      <c r="N116" s="58">
        <f>17.1-0.074*D116</f>
        <v>12.808000000000002</v>
      </c>
      <c r="O116" s="58">
        <f>27.9-0.15*(D116)</f>
        <v>19.2</v>
      </c>
      <c r="P116" s="37" t="s">
        <v>302</v>
      </c>
      <c r="Q116" s="104" t="s">
        <v>303</v>
      </c>
      <c r="S116" s="60">
        <v>3</v>
      </c>
      <c r="T116" s="63">
        <f>IF(O93=5, N118, O118)</f>
        <v>17</v>
      </c>
      <c r="U116" s="60" t="str">
        <f>P118</f>
        <v>S  ≥  S₂</v>
      </c>
      <c r="V116" s="52"/>
      <c r="X116" s="52"/>
      <c r="Z116" s="52"/>
    </row>
    <row r="117" spans="1:26" s="47" customFormat="1" ht="15.95" hidden="1" customHeight="1" thickBot="1" x14ac:dyDescent="0.2">
      <c r="A117" s="24"/>
      <c r="B117" s="36" t="s">
        <v>335</v>
      </c>
      <c r="C117" s="20" t="s">
        <v>4</v>
      </c>
      <c r="D117" s="24">
        <f>T118</f>
        <v>12.6</v>
      </c>
      <c r="E117" s="29" t="s">
        <v>187</v>
      </c>
      <c r="F117" s="24"/>
      <c r="G117" s="24"/>
      <c r="H117" s="24"/>
      <c r="I117" s="24"/>
      <c r="J117" s="24"/>
      <c r="K117" s="24"/>
      <c r="L117" s="24"/>
      <c r="M117" s="24"/>
      <c r="N117" s="58">
        <v>115</v>
      </c>
      <c r="O117" s="58">
        <v>93</v>
      </c>
      <c r="P117" s="37" t="s">
        <v>306</v>
      </c>
      <c r="Q117" s="55" t="s">
        <v>307</v>
      </c>
      <c r="V117" s="52"/>
      <c r="X117" s="52"/>
      <c r="Z117" s="52"/>
    </row>
    <row r="118" spans="1:26" s="47" customFormat="1" ht="15.95" hidden="1" customHeight="1" thickBot="1" x14ac:dyDescent="0.2">
      <c r="A118" s="24"/>
      <c r="B118" s="38"/>
      <c r="C118" s="20" t="s">
        <v>4</v>
      </c>
      <c r="D118" s="29">
        <f>D117*6.894757</f>
        <v>86.873938199999998</v>
      </c>
      <c r="E118" s="29" t="s">
        <v>457</v>
      </c>
      <c r="F118" s="24"/>
      <c r="G118" s="24"/>
      <c r="H118" s="24"/>
      <c r="I118" s="24"/>
      <c r="J118" s="24"/>
      <c r="K118" s="24"/>
      <c r="L118" s="24"/>
      <c r="M118" s="24"/>
      <c r="N118" s="64">
        <f>986/D116</f>
        <v>17</v>
      </c>
      <c r="O118" s="64">
        <f>1298/D116</f>
        <v>22.379310344827587</v>
      </c>
      <c r="P118" s="37" t="s">
        <v>309</v>
      </c>
      <c r="Q118" s="60">
        <f>D116</f>
        <v>58</v>
      </c>
      <c r="S118" s="105">
        <f>IF(Q118&lt;=Q115,1,IF(AND(Q118&gt;Q115,Q118&lt;=R115),2,3))</f>
        <v>1</v>
      </c>
      <c r="T118" s="65">
        <f>VLOOKUP(S118, S114:T116, 2, FALSE)</f>
        <v>12.6</v>
      </c>
      <c r="U118" s="66" t="str">
        <f>VLOOKUP(S118,S114:U116, 3, FALSE)</f>
        <v>S  ≤  S₁</v>
      </c>
      <c r="V118" s="52"/>
      <c r="X118" s="52"/>
      <c r="Z118" s="52"/>
    </row>
    <row r="119" spans="1:26" s="47" customFormat="1" ht="15.95" hidden="1" customHeight="1" x14ac:dyDescent="0.15">
      <c r="A119" s="24"/>
      <c r="B119" s="24"/>
      <c r="C119" s="24"/>
      <c r="D119" s="29"/>
      <c r="E119" s="29"/>
      <c r="F119" s="24"/>
      <c r="G119" s="24"/>
      <c r="H119" s="24"/>
      <c r="I119" s="24"/>
      <c r="J119" s="24"/>
      <c r="K119" s="24"/>
      <c r="L119" s="24"/>
      <c r="M119" s="24"/>
      <c r="N119" s="37"/>
      <c r="V119" s="52"/>
      <c r="X119" s="52"/>
      <c r="Z119" s="52"/>
    </row>
    <row r="120" spans="1:26" s="47" customFormat="1" ht="15.95" hidden="1" customHeight="1" x14ac:dyDescent="0.15">
      <c r="A120" s="24"/>
      <c r="B120" s="35" t="s">
        <v>336</v>
      </c>
      <c r="C120" s="24"/>
      <c r="D120" s="29"/>
      <c r="E120" s="19" t="s">
        <v>337</v>
      </c>
      <c r="F120" s="24" t="s">
        <v>338</v>
      </c>
      <c r="G120" s="24"/>
      <c r="H120" s="24"/>
      <c r="I120" s="24"/>
      <c r="J120" s="24"/>
      <c r="K120" s="24"/>
      <c r="L120" s="24"/>
      <c r="M120" s="24"/>
      <c r="N120" s="37"/>
      <c r="V120" s="52"/>
      <c r="X120" s="52"/>
      <c r="Z120" s="52"/>
    </row>
    <row r="121" spans="1:26" s="47" customFormat="1" ht="15.95" hidden="1" customHeight="1" x14ac:dyDescent="0.15">
      <c r="A121" s="24"/>
      <c r="B121" s="35"/>
      <c r="C121" s="24"/>
      <c r="D121" s="29"/>
      <c r="E121" s="29"/>
      <c r="F121" s="24"/>
      <c r="G121" s="24"/>
      <c r="H121" s="24"/>
      <c r="I121" s="24"/>
      <c r="J121" s="24"/>
      <c r="K121" s="24"/>
      <c r="L121" s="24"/>
      <c r="M121" s="24"/>
      <c r="N121" s="37"/>
      <c r="V121" s="52"/>
      <c r="X121" s="52"/>
      <c r="Z121" s="52"/>
    </row>
    <row r="122" spans="1:26" s="47" customFormat="1" ht="15.95" hidden="1" customHeight="1" x14ac:dyDescent="0.15">
      <c r="A122" s="24"/>
      <c r="B122" s="36" t="s">
        <v>135</v>
      </c>
      <c r="C122" s="20" t="s">
        <v>4</v>
      </c>
      <c r="D122" s="695" t="s">
        <v>1045</v>
      </c>
      <c r="E122" s="695"/>
      <c r="F122" s="24"/>
      <c r="G122" s="24"/>
      <c r="H122" s="24"/>
      <c r="I122" s="24"/>
      <c r="J122" s="24"/>
      <c r="K122" s="24"/>
      <c r="L122" s="24"/>
      <c r="M122" s="24"/>
      <c r="N122" s="37"/>
      <c r="V122" s="52"/>
      <c r="X122" s="52"/>
      <c r="Z122" s="52"/>
    </row>
    <row r="123" spans="1:26" s="47" customFormat="1" ht="15.95" hidden="1" customHeight="1" x14ac:dyDescent="0.15">
      <c r="A123" s="24"/>
      <c r="B123" s="38"/>
      <c r="C123" s="20" t="s">
        <v>4</v>
      </c>
      <c r="D123" s="23">
        <f>(D14*J43)/D44</f>
        <v>0</v>
      </c>
      <c r="E123" s="29" t="s">
        <v>457</v>
      </c>
      <c r="F123" s="24"/>
      <c r="G123" s="24"/>
      <c r="H123" s="24"/>
      <c r="I123" s="24"/>
      <c r="J123" s="24"/>
      <c r="K123" s="24"/>
      <c r="L123" s="24"/>
      <c r="M123" s="24"/>
      <c r="N123" s="24"/>
      <c r="O123" s="24"/>
      <c r="P123" s="24"/>
      <c r="V123" s="52"/>
      <c r="X123" s="52"/>
      <c r="Z123" s="52"/>
    </row>
    <row r="124" spans="1:26" s="47" customFormat="1" ht="15.95" hidden="1" customHeight="1" x14ac:dyDescent="0.15">
      <c r="A124" s="24"/>
      <c r="B124" s="36" t="s">
        <v>139</v>
      </c>
      <c r="C124" s="20" t="s">
        <v>4</v>
      </c>
      <c r="D124" s="22" t="s">
        <v>341</v>
      </c>
      <c r="E124" s="157"/>
      <c r="F124" s="36"/>
      <c r="H124" s="24"/>
      <c r="I124" s="24"/>
      <c r="J124" s="24"/>
      <c r="K124" s="24"/>
      <c r="L124" s="24"/>
      <c r="M124" s="24"/>
      <c r="N124" s="24"/>
      <c r="O124" s="24"/>
      <c r="P124" s="24"/>
      <c r="V124" s="52"/>
      <c r="X124" s="52"/>
      <c r="Z124" s="52"/>
    </row>
    <row r="125" spans="1:26" s="47" customFormat="1" ht="15.95" hidden="1" customHeight="1" x14ac:dyDescent="0.15">
      <c r="A125" s="24"/>
      <c r="B125" s="43"/>
      <c r="C125" s="20" t="s">
        <v>4</v>
      </c>
      <c r="D125" s="67">
        <f>MIN(D102,D110,D118)</f>
        <v>65.334717332000011</v>
      </c>
      <c r="E125" s="29" t="s">
        <v>457</v>
      </c>
      <c r="F125" s="24"/>
      <c r="G125" s="38"/>
      <c r="H125" s="43"/>
      <c r="I125" s="38"/>
      <c r="J125" s="24"/>
      <c r="K125" s="24"/>
      <c r="L125" s="24"/>
      <c r="M125" s="24"/>
      <c r="N125" s="24"/>
      <c r="O125" s="24"/>
      <c r="P125" s="24"/>
      <c r="V125" s="52"/>
      <c r="X125" s="52"/>
      <c r="Z125" s="52"/>
    </row>
    <row r="126" spans="1:26" s="47" customFormat="1" ht="15.95" hidden="1" customHeight="1" x14ac:dyDescent="0.15">
      <c r="A126" s="24"/>
      <c r="C126" s="20"/>
      <c r="F126" s="24"/>
      <c r="G126" s="24"/>
      <c r="H126" s="24"/>
      <c r="I126" s="24"/>
      <c r="J126" s="24"/>
      <c r="K126" s="24"/>
      <c r="L126" s="24"/>
      <c r="M126" s="24"/>
      <c r="N126" s="24"/>
      <c r="O126" s="24"/>
      <c r="P126" s="24"/>
      <c r="V126" s="52"/>
      <c r="X126" s="52"/>
      <c r="Z126" s="52"/>
    </row>
    <row r="127" spans="1:26" ht="15.95" hidden="1" customHeight="1" x14ac:dyDescent="0.15"/>
    <row r="128" spans="1:26" ht="15.95" hidden="1" customHeight="1" x14ac:dyDescent="0.15">
      <c r="B128" s="35" t="s">
        <v>142</v>
      </c>
    </row>
    <row r="129" spans="1:26" ht="15.95" hidden="1" customHeight="1" x14ac:dyDescent="0.15"/>
    <row r="130" spans="1:26" ht="15.95" hidden="1" customHeight="1" x14ac:dyDescent="0.15">
      <c r="B130" s="36" t="s">
        <v>358</v>
      </c>
      <c r="C130" s="20" t="s">
        <v>4</v>
      </c>
      <c r="D130" s="38">
        <f>D123/D125</f>
        <v>0</v>
      </c>
      <c r="E130" s="39" t="str">
        <f>IF(D130&gt;F130,"&gt;","&lt;")</f>
        <v>&lt;</v>
      </c>
      <c r="F130" s="19">
        <v>1</v>
      </c>
      <c r="G130" s="107" t="str">
        <f>IF(D130&lt;F130,"O.K.","N.G.")</f>
        <v>O.K.</v>
      </c>
      <c r="N130" s="20"/>
    </row>
    <row r="131" spans="1:26" ht="15.95" hidden="1" customHeight="1" x14ac:dyDescent="0.15">
      <c r="B131" s="68"/>
      <c r="D131" s="43"/>
      <c r="N131" s="20"/>
    </row>
    <row r="132" spans="1:26" ht="15.95" hidden="1" customHeight="1" x14ac:dyDescent="0.15">
      <c r="A132" s="43"/>
      <c r="B132" s="43"/>
      <c r="C132" s="43"/>
      <c r="D132" s="43"/>
      <c r="E132" s="43"/>
      <c r="F132" s="49"/>
      <c r="G132" s="43"/>
      <c r="H132" s="43"/>
      <c r="I132" s="43"/>
      <c r="J132" s="43"/>
      <c r="K132" s="43"/>
      <c r="L132" s="43"/>
      <c r="M132" s="43"/>
      <c r="N132" s="20"/>
    </row>
    <row r="133" spans="1:26" ht="15.95" hidden="1" customHeight="1" x14ac:dyDescent="0.15">
      <c r="A133" s="43"/>
      <c r="B133" s="43"/>
      <c r="C133" s="43"/>
      <c r="D133" s="43"/>
      <c r="E133" s="43"/>
      <c r="F133" s="43"/>
      <c r="G133" s="43"/>
      <c r="H133" s="43"/>
      <c r="I133" s="43"/>
      <c r="J133" s="43"/>
      <c r="K133" s="43"/>
      <c r="L133" s="43"/>
      <c r="M133" s="43"/>
      <c r="N133" s="20"/>
    </row>
    <row r="134" spans="1:26" ht="15.95" hidden="1" customHeight="1" x14ac:dyDescent="0.15">
      <c r="A134" s="43"/>
      <c r="B134" s="43"/>
      <c r="C134" s="43"/>
      <c r="D134" s="43"/>
      <c r="E134" s="43"/>
      <c r="F134" s="43"/>
      <c r="G134" s="43"/>
      <c r="H134" s="43"/>
      <c r="I134" s="43"/>
      <c r="J134" s="43"/>
      <c r="K134" s="43"/>
      <c r="L134" s="43"/>
      <c r="M134" s="43"/>
      <c r="N134" s="20"/>
    </row>
    <row r="135" spans="1:26" ht="15.95" hidden="1" customHeight="1" x14ac:dyDescent="0.15">
      <c r="B135" s="49"/>
      <c r="D135" s="43"/>
    </row>
    <row r="136" spans="1:26" ht="15.95" hidden="1" customHeight="1" x14ac:dyDescent="0.15">
      <c r="B136" s="49"/>
      <c r="D136" s="43"/>
    </row>
    <row r="137" spans="1:26" ht="15.95" hidden="1" customHeight="1" x14ac:dyDescent="0.15">
      <c r="B137" s="49"/>
      <c r="D137" s="43"/>
    </row>
    <row r="138" spans="1:26" ht="15.95" hidden="1" customHeight="1" x14ac:dyDescent="0.15">
      <c r="B138" s="49"/>
      <c r="D138" s="43"/>
    </row>
    <row r="139" spans="1:26" ht="15.95" hidden="1" customHeight="1" x14ac:dyDescent="0.15">
      <c r="B139" s="77" t="s">
        <v>144</v>
      </c>
      <c r="V139" s="24"/>
      <c r="X139" s="24"/>
      <c r="Z139" s="24"/>
    </row>
    <row r="140" spans="1:26" ht="15.95" hidden="1" customHeight="1" x14ac:dyDescent="0.15">
      <c r="B140" s="49"/>
      <c r="D140" s="43"/>
      <c r="V140" s="24"/>
      <c r="X140" s="24"/>
      <c r="Z140" s="24"/>
    </row>
    <row r="141" spans="1:26" s="12" customFormat="1" ht="15.95" hidden="1" customHeight="1" x14ac:dyDescent="0.15">
      <c r="A141" s="19"/>
      <c r="B141" s="43" t="s">
        <v>409</v>
      </c>
      <c r="C141" s="19"/>
      <c r="D141" s="19"/>
      <c r="E141" s="19"/>
      <c r="F141" s="19"/>
      <c r="G141" s="19"/>
      <c r="H141" s="19"/>
      <c r="I141" s="19"/>
      <c r="J141" s="19"/>
      <c r="K141" s="19"/>
      <c r="L141" s="19"/>
      <c r="M141" s="19"/>
      <c r="N141" s="37"/>
      <c r="O141" s="37"/>
      <c r="P141" s="46"/>
    </row>
    <row r="142" spans="1:26" ht="15.95" hidden="1" customHeight="1" x14ac:dyDescent="0.15">
      <c r="B142" s="77"/>
      <c r="D142" s="38"/>
      <c r="O142" s="118"/>
      <c r="Q142" s="118"/>
      <c r="S142" s="118"/>
      <c r="U142" s="118">
        <v>2.2999999999999998</v>
      </c>
      <c r="V142" s="24"/>
      <c r="X142" s="24"/>
      <c r="Z142" s="24"/>
    </row>
    <row r="143" spans="1:26" ht="15.95" hidden="1" customHeight="1" x14ac:dyDescent="0.15">
      <c r="B143" s="36" t="s">
        <v>410</v>
      </c>
      <c r="C143" s="20" t="s">
        <v>4</v>
      </c>
      <c r="D143" s="172">
        <f>(D14*J44)</f>
        <v>0</v>
      </c>
      <c r="E143" s="43" t="s">
        <v>459</v>
      </c>
      <c r="G143" s="20" t="s">
        <v>9</v>
      </c>
      <c r="H143" s="36" t="s">
        <v>137</v>
      </c>
      <c r="V143" s="24"/>
      <c r="X143" s="24"/>
      <c r="Z143" s="24"/>
    </row>
    <row r="144" spans="1:26" ht="15.95" hidden="1" customHeight="1" x14ac:dyDescent="0.15">
      <c r="B144" s="35"/>
      <c r="V144" s="24"/>
      <c r="X144" s="24"/>
      <c r="Z144" s="24"/>
    </row>
    <row r="145" spans="2:26" ht="15.95" hidden="1" customHeight="1" x14ac:dyDescent="0.15">
      <c r="B145" s="36" t="s">
        <v>134</v>
      </c>
      <c r="C145" s="20" t="s">
        <v>4</v>
      </c>
      <c r="D145" s="172">
        <f>F44</f>
        <v>15503.573333333332</v>
      </c>
      <c r="E145" s="24" t="s">
        <v>471</v>
      </c>
      <c r="G145" s="20" t="s">
        <v>9</v>
      </c>
      <c r="H145" s="36" t="s">
        <v>138</v>
      </c>
      <c r="V145" s="24"/>
      <c r="X145" s="24"/>
      <c r="Z145" s="24"/>
    </row>
    <row r="146" spans="2:26" ht="15.95" hidden="1" customHeight="1" x14ac:dyDescent="0.15">
      <c r="V146" s="24"/>
      <c r="X146" s="24"/>
      <c r="Z146" s="24"/>
    </row>
    <row r="147" spans="2:26" ht="15.95" hidden="1" customHeight="1" x14ac:dyDescent="0.15">
      <c r="C147" s="20"/>
      <c r="V147" s="24"/>
      <c r="X147" s="24"/>
      <c r="Z147" s="24"/>
    </row>
    <row r="148" spans="2:26" ht="15.95" hidden="1" customHeight="1" x14ac:dyDescent="0.15">
      <c r="B148" s="35" t="s">
        <v>132</v>
      </c>
      <c r="D148" s="28"/>
      <c r="V148" s="24"/>
      <c r="X148" s="24"/>
      <c r="Z148" s="24"/>
    </row>
    <row r="149" spans="2:26" ht="15.95" hidden="1" customHeight="1" x14ac:dyDescent="0.15">
      <c r="V149" s="24"/>
      <c r="X149" s="24"/>
      <c r="Z149" s="24"/>
    </row>
    <row r="150" spans="2:26" ht="15.95" hidden="1" customHeight="1" x14ac:dyDescent="0.15">
      <c r="B150" s="36" t="s">
        <v>411</v>
      </c>
      <c r="C150" s="20" t="s">
        <v>4</v>
      </c>
      <c r="D150" s="36" t="s">
        <v>1045</v>
      </c>
      <c r="V150" s="24"/>
      <c r="X150" s="24"/>
      <c r="Z150" s="24"/>
    </row>
    <row r="151" spans="2:26" ht="15.95" hidden="1" customHeight="1" x14ac:dyDescent="0.15">
      <c r="C151" s="20" t="s">
        <v>4</v>
      </c>
      <c r="D151" s="29">
        <f>(D143/D145)</f>
        <v>0</v>
      </c>
      <c r="E151" s="29" t="s">
        <v>457</v>
      </c>
      <c r="V151" s="24"/>
      <c r="X151" s="24"/>
      <c r="Z151" s="24"/>
    </row>
    <row r="152" spans="2:26" ht="15.95" hidden="1" customHeight="1" x14ac:dyDescent="0.15">
      <c r="V152" s="24"/>
      <c r="X152" s="24"/>
      <c r="Z152" s="24"/>
    </row>
    <row r="153" spans="2:26" ht="15.95" hidden="1" customHeight="1" x14ac:dyDescent="0.15">
      <c r="V153" s="24"/>
      <c r="X153" s="24"/>
      <c r="Z153" s="24"/>
    </row>
    <row r="154" spans="2:26" ht="15.95" hidden="1" customHeight="1" x14ac:dyDescent="0.15">
      <c r="B154" s="35" t="s">
        <v>133</v>
      </c>
      <c r="E154" s="24" t="str">
        <f>IF(N158=1,"","( Short Term Load )")</f>
        <v>( Short Term Load )</v>
      </c>
      <c r="V154" s="24"/>
      <c r="X154" s="24"/>
      <c r="Z154" s="24"/>
    </row>
    <row r="155" spans="2:26" ht="15.95" hidden="1" customHeight="1" x14ac:dyDescent="0.15">
      <c r="B155" s="35"/>
      <c r="G155" s="20"/>
      <c r="H155" s="36"/>
      <c r="V155" s="24"/>
      <c r="X155" s="24"/>
      <c r="Z155" s="24"/>
    </row>
    <row r="156" spans="2:26" ht="15.95" hidden="1" customHeight="1" x14ac:dyDescent="0.15">
      <c r="B156" s="36" t="s">
        <v>140</v>
      </c>
      <c r="C156" s="20" t="s">
        <v>4</v>
      </c>
      <c r="D156" s="29">
        <v>275</v>
      </c>
      <c r="E156" s="29" t="s">
        <v>457</v>
      </c>
      <c r="G156" s="20" t="s">
        <v>9</v>
      </c>
      <c r="H156" s="36" t="s">
        <v>649</v>
      </c>
      <c r="V156" s="24"/>
      <c r="X156" s="24"/>
      <c r="Z156" s="24"/>
    </row>
    <row r="157" spans="2:26" ht="15.95" hidden="1" customHeight="1" x14ac:dyDescent="0.15">
      <c r="B157" s="36" t="s">
        <v>319</v>
      </c>
      <c r="C157" s="20" t="s">
        <v>4</v>
      </c>
      <c r="D157" s="80" t="s">
        <v>650</v>
      </c>
      <c r="E157" s="36"/>
      <c r="V157" s="24"/>
      <c r="X157" s="24"/>
      <c r="Z157" s="24"/>
    </row>
    <row r="158" spans="2:26" ht="15.95" hidden="1" customHeight="1" x14ac:dyDescent="0.15">
      <c r="B158" s="38"/>
      <c r="C158" s="20" t="s">
        <v>4</v>
      </c>
      <c r="D158" s="29">
        <f>0.66*D156</f>
        <v>181.5</v>
      </c>
      <c r="E158" s="29" t="s">
        <v>457</v>
      </c>
      <c r="V158" s="24"/>
      <c r="X158" s="24"/>
      <c r="Z158" s="24"/>
    </row>
    <row r="159" spans="2:26" ht="15.95" hidden="1" customHeight="1" x14ac:dyDescent="0.15">
      <c r="V159" s="24"/>
      <c r="X159" s="24"/>
      <c r="Z159" s="24"/>
    </row>
    <row r="160" spans="2:26" ht="15.95" hidden="1" customHeight="1" x14ac:dyDescent="0.15">
      <c r="V160" s="24"/>
      <c r="X160" s="24"/>
      <c r="Z160" s="24"/>
    </row>
    <row r="161" spans="2:26" ht="15.95" hidden="1" customHeight="1" x14ac:dyDescent="0.15">
      <c r="B161" s="35" t="s">
        <v>142</v>
      </c>
      <c r="V161" s="24"/>
      <c r="X161" s="24"/>
      <c r="Z161" s="24"/>
    </row>
    <row r="162" spans="2:26" ht="15.95" hidden="1" customHeight="1" x14ac:dyDescent="0.15">
      <c r="B162" s="35"/>
      <c r="N162" s="20"/>
      <c r="V162" s="24"/>
      <c r="X162" s="24"/>
      <c r="Z162" s="24"/>
    </row>
    <row r="163" spans="2:26" ht="15.95" hidden="1" customHeight="1" x14ac:dyDescent="0.15">
      <c r="B163" s="36" t="s">
        <v>143</v>
      </c>
      <c r="C163" s="20" t="s">
        <v>4</v>
      </c>
      <c r="D163" s="38">
        <f>D151/D158</f>
        <v>0</v>
      </c>
      <c r="E163" s="39" t="str">
        <f>IF(D163&gt;F163,"&gt;","&lt;")</f>
        <v>&lt;</v>
      </c>
      <c r="F163" s="19">
        <v>1</v>
      </c>
      <c r="G163" s="107" t="str">
        <f>IF(D163&lt;F163,"O.K.","N.G.")</f>
        <v>O.K.</v>
      </c>
      <c r="V163" s="24"/>
      <c r="X163" s="24"/>
      <c r="Z163" s="24"/>
    </row>
    <row r="164" spans="2:26" ht="15.95" hidden="1" customHeight="1" x14ac:dyDescent="0.15">
      <c r="C164" s="119"/>
      <c r="D164" s="28"/>
      <c r="F164" s="28"/>
      <c r="V164" s="24"/>
      <c r="X164" s="24"/>
      <c r="Z164" s="24"/>
    </row>
    <row r="165" spans="2:26" ht="15.95" hidden="1" customHeight="1" x14ac:dyDescent="0.15">
      <c r="C165" s="119"/>
      <c r="D165" s="28"/>
      <c r="F165" s="28"/>
      <c r="V165" s="24"/>
      <c r="X165" s="24"/>
      <c r="Z165" s="24"/>
    </row>
    <row r="166" spans="2:26" ht="15.95" hidden="1" customHeight="1" x14ac:dyDescent="0.15">
      <c r="B166" s="40" t="s">
        <v>145</v>
      </c>
    </row>
    <row r="167" spans="2:26" ht="15.95" hidden="1" customHeight="1" x14ac:dyDescent="0.15"/>
    <row r="168" spans="2:26" ht="15.95" hidden="1" customHeight="1" x14ac:dyDescent="0.15">
      <c r="B168" s="35" t="s">
        <v>147</v>
      </c>
    </row>
    <row r="169" spans="2:26" ht="15.95" hidden="1" customHeight="1" x14ac:dyDescent="0.15">
      <c r="B169" s="35"/>
    </row>
    <row r="170" spans="2:26" ht="15.95" hidden="1" customHeight="1" x14ac:dyDescent="0.15">
      <c r="B170" s="78" t="s">
        <v>120</v>
      </c>
      <c r="C170" s="20" t="s">
        <v>4</v>
      </c>
      <c r="D170" s="24">
        <f>D16</f>
        <v>0</v>
      </c>
      <c r="E170" s="29" t="s">
        <v>479</v>
      </c>
    </row>
    <row r="171" spans="2:26" ht="15.95" hidden="1" customHeight="1" x14ac:dyDescent="0.15"/>
    <row r="172" spans="2:26" ht="15.95" hidden="1" customHeight="1" x14ac:dyDescent="0.15"/>
    <row r="173" spans="2:26" ht="15.95" hidden="1" customHeight="1" x14ac:dyDescent="0.15">
      <c r="B173" s="35" t="s">
        <v>146</v>
      </c>
      <c r="E173" s="42" t="s">
        <v>150</v>
      </c>
    </row>
    <row r="174" spans="2:26" ht="15.95" hidden="1" customHeight="1" x14ac:dyDescent="0.15">
      <c r="B174" s="35"/>
    </row>
    <row r="175" spans="2:26" ht="15.95" hidden="1" customHeight="1" x14ac:dyDescent="0.15">
      <c r="B175" s="78" t="s">
        <v>2</v>
      </c>
      <c r="C175" s="20" t="s">
        <v>4</v>
      </c>
      <c r="D175" s="167">
        <f>D10</f>
        <v>4000</v>
      </c>
      <c r="E175" s="24" t="str">
        <f>IF(D175&gt;4110,"mm      &gt;     4110 mm","mm     ≤     4110 mm")</f>
        <v>mm     ≤     4110 mm</v>
      </c>
      <c r="M175" s="43" t="s">
        <v>151</v>
      </c>
      <c r="N175" s="41">
        <f>D175/240+6.35</f>
        <v>23.016666666666666</v>
      </c>
    </row>
    <row r="176" spans="2:26" ht="15.95" hidden="1" customHeight="1" x14ac:dyDescent="0.15">
      <c r="B176" s="78" t="s">
        <v>148</v>
      </c>
      <c r="C176" s="20" t="s">
        <v>4</v>
      </c>
      <c r="D176" s="177">
        <f>D175</f>
        <v>4000</v>
      </c>
      <c r="E176" s="35" t="str">
        <f>IF(D175&lt;4110,"mm      /     175","mm      /      240 + 6.35 mm ")</f>
        <v>mm      /     175</v>
      </c>
      <c r="M176" s="43" t="s">
        <v>152</v>
      </c>
      <c r="N176" s="41">
        <f>D175/175</f>
        <v>22.857142857142858</v>
      </c>
    </row>
    <row r="177" spans="1:26" ht="15.95" hidden="1" customHeight="1" x14ac:dyDescent="0.15">
      <c r="B177" s="38"/>
      <c r="C177" s="20" t="s">
        <v>4</v>
      </c>
      <c r="D177" s="38">
        <f>IF(D175&gt;4110,N175,N176)</f>
        <v>22.857142857142858</v>
      </c>
      <c r="E177" s="24" t="s">
        <v>496</v>
      </c>
    </row>
    <row r="178" spans="1:26" ht="15.95" hidden="1" customHeight="1" x14ac:dyDescent="0.15"/>
    <row r="179" spans="1:26" ht="15.95" hidden="1" customHeight="1" x14ac:dyDescent="0.15"/>
    <row r="180" spans="1:26" ht="15.95" hidden="1" customHeight="1" x14ac:dyDescent="0.15">
      <c r="B180" s="35" t="s">
        <v>153</v>
      </c>
    </row>
    <row r="181" spans="1:26" s="20" customFormat="1" ht="15.95" hidden="1" customHeight="1" x14ac:dyDescent="0.15">
      <c r="A181" s="43"/>
      <c r="C181" s="43"/>
      <c r="D181" s="43"/>
      <c r="E181" s="43"/>
      <c r="F181" s="43"/>
      <c r="G181" s="43"/>
      <c r="H181" s="43"/>
      <c r="I181" s="43"/>
      <c r="J181" s="43"/>
      <c r="K181" s="43"/>
      <c r="L181" s="43"/>
      <c r="M181" s="43"/>
      <c r="O181" s="24"/>
      <c r="P181" s="24"/>
      <c r="Q181" s="24"/>
      <c r="R181" s="24"/>
      <c r="S181" s="24"/>
      <c r="T181" s="24"/>
      <c r="U181" s="24"/>
      <c r="V181" s="38"/>
      <c r="X181" s="38"/>
      <c r="Z181" s="38"/>
    </row>
    <row r="182" spans="1:26" s="20" customFormat="1" ht="15.95" hidden="1" customHeight="1" x14ac:dyDescent="0.15">
      <c r="A182" s="24"/>
      <c r="B182" s="36" t="s">
        <v>359</v>
      </c>
      <c r="C182" s="20" t="s">
        <v>4</v>
      </c>
      <c r="D182" s="38">
        <f>D170/(D177)</f>
        <v>0</v>
      </c>
      <c r="E182" s="39" t="str">
        <f>IF(D182&gt;F182,"&gt;","&lt;")</f>
        <v>&lt;</v>
      </c>
      <c r="F182" s="19">
        <v>1</v>
      </c>
      <c r="G182" s="107" t="str">
        <f>IF(D182&lt;F182,"O.K.","N.G.")</f>
        <v>O.K.</v>
      </c>
      <c r="I182" s="43"/>
      <c r="J182" s="43"/>
      <c r="K182" s="43"/>
      <c r="L182" s="43"/>
      <c r="M182" s="43"/>
      <c r="O182" s="24"/>
      <c r="P182" s="24"/>
      <c r="Q182" s="24"/>
      <c r="R182" s="24"/>
      <c r="S182" s="24"/>
      <c r="T182" s="24"/>
      <c r="U182" s="24"/>
      <c r="V182" s="38"/>
      <c r="X182" s="38"/>
      <c r="Z182" s="38"/>
    </row>
    <row r="183" spans="1:26" ht="15.95" hidden="1" customHeight="1" x14ac:dyDescent="0.15"/>
    <row r="184" spans="1:26" ht="15.95" hidden="1" customHeight="1" x14ac:dyDescent="0.15"/>
  </sheetData>
  <sheetProtection algorithmName="SHA-512" hashValue="woQ17sl+envYeU/GOn682/pkYjDEfuiaI8SIWp6NLZyQvEvdQMy5M1FbKgoxsl5H17xJZQb4kXr1/jHMXdO85Q==" saltValue="QqSVWIB9AROFQrD41M7n1g==" spinCount="100000" sheet="1" objects="1" scenarios="1" selectLockedCells="1"/>
  <protectedRanges>
    <protectedRange sqref="D12" name="범위1_2"/>
    <protectedRange sqref="F12" name="범위1_2_1"/>
    <protectedRange sqref="D7:D11" name="범위1_2_2"/>
  </protectedRanges>
  <mergeCells count="11">
    <mergeCell ref="M6:N6"/>
    <mergeCell ref="D122:E122"/>
    <mergeCell ref="Q96:R96"/>
    <mergeCell ref="S96:U96"/>
    <mergeCell ref="Q105:R105"/>
    <mergeCell ref="S105:U105"/>
    <mergeCell ref="Q113:R113"/>
    <mergeCell ref="S113:U113"/>
    <mergeCell ref="N13:N14"/>
    <mergeCell ref="O13:O14"/>
    <mergeCell ref="B46:K46"/>
  </mergeCells>
  <phoneticPr fontId="2" type="noConversion"/>
  <pageMargins left="0.51181102362204722" right="0.51181102362204722" top="0.78740157480314965" bottom="0.59055118110236227" header="0.39370078740157483" footer="0.39370078740157483"/>
  <pageSetup paperSize="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>
    <tabColor rgb="FF00B0F0"/>
  </sheetPr>
  <dimension ref="A1:AA248"/>
  <sheetViews>
    <sheetView view="pageBreakPreview" zoomScale="75" zoomScaleNormal="100" zoomScaleSheetLayoutView="75" workbookViewId="0">
      <selection activeCell="G6" sqref="G6"/>
    </sheetView>
  </sheetViews>
  <sheetFormatPr defaultRowHeight="15.95" customHeight="1" x14ac:dyDescent="0.15"/>
  <cols>
    <col min="1" max="1" width="2.77734375" style="24" customWidth="1"/>
    <col min="2" max="2" width="7.33203125" style="24" customWidth="1"/>
    <col min="3" max="3" width="5.33203125" style="24" customWidth="1"/>
    <col min="4" max="4" width="9.33203125" style="24" customWidth="1"/>
    <col min="5" max="5" width="5.33203125" style="24" customWidth="1"/>
    <col min="6" max="6" width="9.33203125" style="24" customWidth="1"/>
    <col min="7" max="8" width="7.33203125" style="24" customWidth="1"/>
    <col min="9" max="9" width="5.88671875" style="24" customWidth="1"/>
    <col min="10" max="10" width="9.33203125" style="24" customWidth="1"/>
    <col min="11" max="11" width="7.33203125" style="24" customWidth="1"/>
    <col min="12" max="12" width="2.77734375" style="24" customWidth="1"/>
    <col min="13" max="14" width="6.77734375" style="24" customWidth="1"/>
    <col min="15" max="15" width="8.77734375" style="24" customWidth="1"/>
    <col min="16" max="16" width="9.77734375" style="24" customWidth="1"/>
    <col min="17" max="17" width="6.77734375" style="24" customWidth="1"/>
    <col min="18" max="18" width="8.77734375" style="24" customWidth="1"/>
    <col min="19" max="20" width="6.77734375" style="24" customWidth="1"/>
    <col min="21" max="21" width="9.77734375" style="24" hidden="1" customWidth="1"/>
    <col min="22" max="22" width="0" style="38" hidden="1" customWidth="1"/>
    <col min="23" max="23" width="5.77734375" style="24" hidden="1" customWidth="1"/>
    <col min="24" max="24" width="5.77734375" style="38" hidden="1" customWidth="1"/>
    <col min="25" max="25" width="5.77734375" style="24" hidden="1" customWidth="1"/>
    <col min="26" max="26" width="5.77734375" style="38" hidden="1" customWidth="1"/>
    <col min="27" max="27" width="5.77734375" style="24" hidden="1" customWidth="1"/>
    <col min="28" max="16384" width="8.88671875" style="24"/>
  </cols>
  <sheetData>
    <row r="1" spans="1:17" ht="15.95" customHeight="1" x14ac:dyDescent="0.15">
      <c r="A1" s="76" t="s">
        <v>188</v>
      </c>
    </row>
    <row r="3" spans="1:17" ht="15.95" customHeight="1" x14ac:dyDescent="0.15">
      <c r="B3" s="77" t="s">
        <v>58</v>
      </c>
    </row>
    <row r="5" spans="1:17" ht="15.95" customHeight="1" x14ac:dyDescent="0.15">
      <c r="B5" s="78" t="s">
        <v>59</v>
      </c>
      <c r="C5" s="20" t="s">
        <v>57</v>
      </c>
      <c r="D5" s="42">
        <f>(SUMPRODUCT((N8:N10=N7)*(O7:P7=M7),O8:P10))</f>
        <v>0</v>
      </c>
      <c r="E5" s="43" t="s">
        <v>456</v>
      </c>
      <c r="H5" s="36" t="s">
        <v>69</v>
      </c>
      <c r="I5" s="49"/>
      <c r="M5" s="38"/>
      <c r="P5" s="12"/>
      <c r="Q5" s="12"/>
    </row>
    <row r="6" spans="1:17" ht="15.95" customHeight="1" x14ac:dyDescent="0.15">
      <c r="B6" s="78" t="s">
        <v>190</v>
      </c>
      <c r="C6" s="20" t="s">
        <v>57</v>
      </c>
      <c r="D6" s="172">
        <f>710100/100*9.80665</f>
        <v>69637.021649999995</v>
      </c>
      <c r="E6" s="43" t="s">
        <v>457</v>
      </c>
      <c r="F6" s="80" t="s">
        <v>191</v>
      </c>
      <c r="G6" s="561">
        <v>5</v>
      </c>
      <c r="H6" s="36" t="s">
        <v>203</v>
      </c>
      <c r="I6" s="43"/>
      <c r="M6" s="694" t="s">
        <v>543</v>
      </c>
      <c r="N6" s="694"/>
      <c r="O6" s="188"/>
      <c r="P6" s="189"/>
    </row>
    <row r="7" spans="1:17" ht="15.95" customHeight="1" x14ac:dyDescent="0.15">
      <c r="B7" s="78" t="s">
        <v>60</v>
      </c>
      <c r="C7" s="20" t="s">
        <v>57</v>
      </c>
      <c r="D7" s="560">
        <v>1200</v>
      </c>
      <c r="E7" s="43" t="s">
        <v>458</v>
      </c>
      <c r="H7" s="36" t="s">
        <v>70</v>
      </c>
      <c r="M7" s="562" t="s">
        <v>541</v>
      </c>
      <c r="N7" s="563">
        <v>1</v>
      </c>
      <c r="O7" s="185" t="s">
        <v>541</v>
      </c>
      <c r="P7" s="185" t="s">
        <v>542</v>
      </c>
    </row>
    <row r="8" spans="1:17" ht="15.95" customHeight="1" x14ac:dyDescent="0.15">
      <c r="B8" s="78" t="s">
        <v>61</v>
      </c>
      <c r="C8" s="20" t="s">
        <v>57</v>
      </c>
      <c r="D8" s="560">
        <v>1500</v>
      </c>
      <c r="E8" s="43" t="s">
        <v>458</v>
      </c>
      <c r="H8" s="36" t="s">
        <v>71</v>
      </c>
      <c r="M8" s="190" t="s">
        <v>453</v>
      </c>
      <c r="N8" s="186">
        <v>1</v>
      </c>
      <c r="O8" s="187" t="str">
        <f>풍하중!T8</f>
        <v>-</v>
      </c>
      <c r="P8" s="187">
        <f>풍하중!U8</f>
        <v>1.52</v>
      </c>
    </row>
    <row r="9" spans="1:17" ht="15.95" customHeight="1" x14ac:dyDescent="0.15">
      <c r="B9" s="80" t="s">
        <v>62</v>
      </c>
      <c r="C9" s="20" t="s">
        <v>57</v>
      </c>
      <c r="D9" s="560">
        <v>5000</v>
      </c>
      <c r="E9" s="43" t="s">
        <v>458</v>
      </c>
      <c r="H9" s="36" t="s">
        <v>395</v>
      </c>
      <c r="I9" s="43"/>
      <c r="M9" s="190" t="s">
        <v>454</v>
      </c>
      <c r="N9" s="186">
        <v>2</v>
      </c>
      <c r="O9" s="187" t="str">
        <f>풍하중!T9</f>
        <v>-</v>
      </c>
      <c r="P9" s="187">
        <f>풍하중!U9</f>
        <v>-1.1619999999999999</v>
      </c>
    </row>
    <row r="10" spans="1:17" ht="15.95" customHeight="1" x14ac:dyDescent="0.15">
      <c r="B10" s="80" t="s">
        <v>63</v>
      </c>
      <c r="C10" s="20" t="s">
        <v>57</v>
      </c>
      <c r="D10" s="560">
        <v>250</v>
      </c>
      <c r="E10" s="43" t="s">
        <v>458</v>
      </c>
      <c r="H10" s="36" t="s">
        <v>396</v>
      </c>
      <c r="I10" s="43"/>
      <c r="M10" s="190" t="s">
        <v>455</v>
      </c>
      <c r="N10" s="186">
        <v>3</v>
      </c>
      <c r="O10" s="187" t="str">
        <f>풍하중!T10</f>
        <v>-</v>
      </c>
      <c r="P10" s="187">
        <f>풍하중!U10</f>
        <v>-1.39</v>
      </c>
    </row>
    <row r="11" spans="1:17" ht="15.95" customHeight="1" x14ac:dyDescent="0.15">
      <c r="B11" s="80" t="s">
        <v>64</v>
      </c>
      <c r="C11" s="20" t="s">
        <v>57</v>
      </c>
      <c r="D11" s="176">
        <f>D9-D10</f>
        <v>4750</v>
      </c>
      <c r="E11" s="43" t="s">
        <v>458</v>
      </c>
      <c r="H11" s="36" t="s">
        <v>397</v>
      </c>
    </row>
    <row r="12" spans="1:17" ht="15.95" customHeight="1" x14ac:dyDescent="0.15">
      <c r="B12" s="80" t="s">
        <v>394</v>
      </c>
      <c r="C12" s="20" t="s">
        <v>57</v>
      </c>
      <c r="D12" s="560">
        <v>2600</v>
      </c>
      <c r="E12" s="43" t="s">
        <v>458</v>
      </c>
      <c r="H12" s="36" t="s">
        <v>72</v>
      </c>
    </row>
    <row r="13" spans="1:17" ht="15.95" customHeight="1" x14ac:dyDescent="0.15">
      <c r="M13" s="165"/>
      <c r="N13" s="698"/>
      <c r="O13" s="698"/>
    </row>
    <row r="14" spans="1:17" ht="15.95" customHeight="1" x14ac:dyDescent="0.15">
      <c r="B14" s="36" t="s">
        <v>65</v>
      </c>
      <c r="C14" s="20" t="s">
        <v>57</v>
      </c>
      <c r="D14" s="172">
        <f>(J85-J177)</f>
        <v>0</v>
      </c>
      <c r="E14" s="43" t="s">
        <v>514</v>
      </c>
      <c r="F14" s="36"/>
      <c r="H14" s="162" t="s">
        <v>66</v>
      </c>
      <c r="I14" s="20" t="s">
        <v>57</v>
      </c>
      <c r="J14" s="108">
        <f>D222</f>
        <v>0</v>
      </c>
      <c r="K14" s="83" t="str">
        <f>IF(J14&lt;1,"O.K","N.G")</f>
        <v>O.K</v>
      </c>
      <c r="M14" s="165"/>
      <c r="N14" s="698"/>
      <c r="O14" s="698"/>
    </row>
    <row r="15" spans="1:17" ht="15.95" customHeight="1" x14ac:dyDescent="0.15">
      <c r="O15" s="12"/>
      <c r="P15" s="172"/>
      <c r="Q15" s="43"/>
    </row>
    <row r="16" spans="1:17" ht="15.95" customHeight="1" x14ac:dyDescent="0.15">
      <c r="B16" s="36" t="s">
        <v>483</v>
      </c>
      <c r="C16" s="20" t="s">
        <v>57</v>
      </c>
      <c r="D16" s="79">
        <f>D91-D183+(D88+D180)/2</f>
        <v>0</v>
      </c>
      <c r="E16" s="43" t="s">
        <v>458</v>
      </c>
      <c r="F16" s="36"/>
      <c r="O16" s="12"/>
      <c r="P16" s="334"/>
      <c r="Q16" s="12"/>
    </row>
    <row r="17" spans="2:26" ht="15.95" customHeight="1" x14ac:dyDescent="0.15">
      <c r="B17" s="36" t="s">
        <v>484</v>
      </c>
      <c r="C17" s="20" t="s">
        <v>36</v>
      </c>
      <c r="D17" s="79">
        <f>D242</f>
        <v>27.18333333333333</v>
      </c>
      <c r="E17" s="43" t="s">
        <v>458</v>
      </c>
      <c r="H17" s="80" t="s">
        <v>68</v>
      </c>
      <c r="I17" s="20" t="s">
        <v>57</v>
      </c>
      <c r="J17" s="108">
        <f>D247</f>
        <v>0</v>
      </c>
      <c r="K17" s="83" t="str">
        <f>IF(J17&lt;1,"O.K","N.G")</f>
        <v>O.K</v>
      </c>
      <c r="O17" s="12"/>
      <c r="P17" s="332"/>
      <c r="Q17" s="43"/>
    </row>
    <row r="18" spans="2:26" ht="15.95" customHeight="1" x14ac:dyDescent="0.15">
      <c r="O18" s="12"/>
      <c r="P18" s="334"/>
      <c r="Q18" s="12"/>
    </row>
    <row r="19" spans="2:26" ht="15.95" customHeight="1" x14ac:dyDescent="0.15">
      <c r="B19" s="78"/>
      <c r="C19" s="82"/>
      <c r="D19" s="20"/>
    </row>
    <row r="20" spans="2:26" ht="15.95" customHeight="1" x14ac:dyDescent="0.15">
      <c r="B20" s="77" t="s">
        <v>78</v>
      </c>
      <c r="E20" s="49"/>
      <c r="H20" s="77" t="s">
        <v>485</v>
      </c>
      <c r="J20" s="559">
        <v>1</v>
      </c>
      <c r="N20" s="24" t="s">
        <v>474</v>
      </c>
      <c r="Q20" s="20" t="s">
        <v>206</v>
      </c>
    </row>
    <row r="21" spans="2:26" ht="15.95" customHeight="1" thickBot="1" x14ac:dyDescent="0.2">
      <c r="K21" s="81"/>
      <c r="L21" s="81"/>
      <c r="M21" s="81"/>
    </row>
    <row r="22" spans="2:26" ht="15.95" customHeight="1" thickBot="1" x14ac:dyDescent="0.2">
      <c r="B22" s="138"/>
      <c r="C22" s="139"/>
      <c r="D22" s="139"/>
      <c r="E22" s="139"/>
      <c r="F22" s="139"/>
      <c r="G22" s="696"/>
      <c r="H22" s="696"/>
      <c r="I22" s="696"/>
      <c r="J22" s="696"/>
      <c r="K22" s="697"/>
      <c r="N22" s="138" t="s">
        <v>287</v>
      </c>
      <c r="O22" s="139"/>
      <c r="P22" s="139"/>
      <c r="Q22" s="138" t="s">
        <v>288</v>
      </c>
      <c r="R22" s="139"/>
      <c r="S22" s="140"/>
    </row>
    <row r="23" spans="2:26" ht="15.95" customHeight="1" x14ac:dyDescent="0.15">
      <c r="B23" s="91"/>
      <c r="G23" s="698"/>
      <c r="H23" s="698"/>
      <c r="I23" s="698"/>
      <c r="J23" s="698"/>
      <c r="K23" s="699"/>
      <c r="N23" s="84" t="s">
        <v>197</v>
      </c>
      <c r="O23" s="564">
        <v>60</v>
      </c>
      <c r="P23" s="154" t="s">
        <v>468</v>
      </c>
      <c r="Q23" s="84" t="s">
        <v>46</v>
      </c>
      <c r="R23" s="564">
        <v>60</v>
      </c>
      <c r="S23" s="85" t="s">
        <v>468</v>
      </c>
      <c r="U23" s="80" t="s">
        <v>155</v>
      </c>
      <c r="V23" s="24">
        <f>V37*X37</f>
        <v>60</v>
      </c>
      <c r="W23" s="80" t="s">
        <v>156</v>
      </c>
      <c r="X23" s="24">
        <f>X37/2</f>
        <v>15</v>
      </c>
      <c r="Y23" s="80" t="s">
        <v>157</v>
      </c>
      <c r="Z23" s="24">
        <f>V36+X35/2</f>
        <v>30</v>
      </c>
    </row>
    <row r="24" spans="2:26" ht="15.95" customHeight="1" x14ac:dyDescent="0.15">
      <c r="B24" s="91"/>
      <c r="G24" s="698"/>
      <c r="H24" s="698"/>
      <c r="I24" s="698"/>
      <c r="J24" s="698"/>
      <c r="K24" s="699"/>
      <c r="N24" s="71" t="s">
        <v>199</v>
      </c>
      <c r="O24" s="565">
        <v>120</v>
      </c>
      <c r="P24" s="43" t="s">
        <v>468</v>
      </c>
      <c r="Q24" s="71" t="s">
        <v>199</v>
      </c>
      <c r="R24" s="565">
        <v>120</v>
      </c>
      <c r="S24" s="86" t="s">
        <v>468</v>
      </c>
      <c r="U24" s="80" t="s">
        <v>158</v>
      </c>
      <c r="V24" s="24">
        <f>X35*V35</f>
        <v>112</v>
      </c>
      <c r="W24" s="80" t="s">
        <v>159</v>
      </c>
      <c r="X24" s="24">
        <f>X37+V35/2</f>
        <v>31</v>
      </c>
      <c r="Y24" s="80" t="s">
        <v>160</v>
      </c>
      <c r="Z24" s="24">
        <f>V36+X35/2</f>
        <v>30</v>
      </c>
    </row>
    <row r="25" spans="2:26" ht="15.95" customHeight="1" x14ac:dyDescent="0.15">
      <c r="B25" s="91"/>
      <c r="G25" s="698"/>
      <c r="H25" s="698"/>
      <c r="I25" s="698"/>
      <c r="J25" s="698"/>
      <c r="K25" s="699"/>
      <c r="N25" s="71" t="s">
        <v>204</v>
      </c>
      <c r="O25" s="565">
        <v>30</v>
      </c>
      <c r="P25" s="43" t="s">
        <v>468</v>
      </c>
      <c r="Q25" s="91"/>
      <c r="R25" s="566"/>
      <c r="S25" s="110"/>
      <c r="U25" s="80" t="s">
        <v>161</v>
      </c>
      <c r="V25" s="24">
        <f>X35*V35</f>
        <v>112</v>
      </c>
      <c r="W25" s="80" t="s">
        <v>162</v>
      </c>
      <c r="X25" s="24">
        <f>X37+(X36-V35)+V35/2</f>
        <v>149</v>
      </c>
      <c r="Y25" s="80" t="s">
        <v>163</v>
      </c>
      <c r="Z25" s="24">
        <f>V36+X35/2</f>
        <v>30</v>
      </c>
    </row>
    <row r="26" spans="2:26" ht="15.95" customHeight="1" x14ac:dyDescent="0.15">
      <c r="B26" s="91"/>
      <c r="G26" s="698"/>
      <c r="H26" s="698"/>
      <c r="I26" s="698"/>
      <c r="J26" s="698"/>
      <c r="K26" s="699"/>
      <c r="N26" s="71" t="s">
        <v>74</v>
      </c>
      <c r="O26" s="565">
        <v>2</v>
      </c>
      <c r="P26" s="43" t="s">
        <v>468</v>
      </c>
      <c r="Q26" s="71" t="s">
        <v>347</v>
      </c>
      <c r="R26" s="565">
        <v>2</v>
      </c>
      <c r="S26" s="86" t="s">
        <v>468</v>
      </c>
      <c r="U26" s="80" t="s">
        <v>164</v>
      </c>
      <c r="V26" s="24">
        <f>X36*V36</f>
        <v>240</v>
      </c>
      <c r="W26" s="80" t="s">
        <v>165</v>
      </c>
      <c r="X26" s="24">
        <f>X37+X36/2</f>
        <v>90</v>
      </c>
      <c r="Y26" s="80" t="s">
        <v>166</v>
      </c>
      <c r="Z26" s="24">
        <f>V36/2</f>
        <v>1</v>
      </c>
    </row>
    <row r="27" spans="2:26" ht="15.95" customHeight="1" x14ac:dyDescent="0.15">
      <c r="B27" s="91"/>
      <c r="G27" s="698"/>
      <c r="H27" s="698"/>
      <c r="I27" s="698"/>
      <c r="J27" s="698"/>
      <c r="K27" s="699"/>
      <c r="N27" s="71" t="s">
        <v>466</v>
      </c>
      <c r="O27" s="565">
        <v>2</v>
      </c>
      <c r="P27" s="43" t="s">
        <v>468</v>
      </c>
      <c r="Q27" s="71" t="s">
        <v>348</v>
      </c>
      <c r="R27" s="567">
        <v>2</v>
      </c>
      <c r="S27" s="86" t="s">
        <v>468</v>
      </c>
      <c r="U27" s="80" t="s">
        <v>167</v>
      </c>
      <c r="V27" s="24">
        <f>X36*V36</f>
        <v>240</v>
      </c>
      <c r="W27" s="80" t="s">
        <v>168</v>
      </c>
      <c r="X27" s="24">
        <f>X37+X36/2</f>
        <v>90</v>
      </c>
      <c r="Y27" s="80" t="s">
        <v>169</v>
      </c>
      <c r="Z27" s="24">
        <f>V36+X35+V36/2</f>
        <v>59</v>
      </c>
    </row>
    <row r="28" spans="2:26" ht="15.95" customHeight="1" thickBot="1" x14ac:dyDescent="0.2">
      <c r="B28" s="91"/>
      <c r="G28" s="698"/>
      <c r="H28" s="698"/>
      <c r="I28" s="698"/>
      <c r="J28" s="698"/>
      <c r="K28" s="699"/>
      <c r="N28" s="71" t="s">
        <v>192</v>
      </c>
      <c r="O28" s="565">
        <v>2</v>
      </c>
      <c r="P28" s="43" t="s">
        <v>468</v>
      </c>
      <c r="Q28" s="91"/>
      <c r="R28" s="566"/>
      <c r="S28" s="110"/>
      <c r="U28" s="80"/>
      <c r="V28" s="24"/>
      <c r="W28" s="80"/>
      <c r="X28" s="24"/>
      <c r="Y28" s="80"/>
      <c r="Z28" s="24"/>
    </row>
    <row r="29" spans="2:26" ht="15.95" customHeight="1" x14ac:dyDescent="0.15">
      <c r="B29" s="91"/>
      <c r="G29" s="698"/>
      <c r="H29" s="698"/>
      <c r="I29" s="698"/>
      <c r="J29" s="698"/>
      <c r="K29" s="699"/>
      <c r="N29" s="84" t="s">
        <v>196</v>
      </c>
      <c r="O29" s="151">
        <f>O24+O25</f>
        <v>150</v>
      </c>
      <c r="P29" s="85" t="s">
        <v>458</v>
      </c>
      <c r="Q29" s="91"/>
      <c r="R29" s="566"/>
      <c r="S29" s="110"/>
      <c r="U29" s="80" t="s">
        <v>170</v>
      </c>
      <c r="V29" s="24">
        <f>X23-Z31</f>
        <v>-69.109947643979055</v>
      </c>
      <c r="W29" s="80" t="s">
        <v>171</v>
      </c>
      <c r="X29" s="24">
        <f>Z23-Z32</f>
        <v>0</v>
      </c>
      <c r="Y29" s="80" t="s">
        <v>172</v>
      </c>
      <c r="Z29" s="24">
        <f>V23*X23+V24*X24+V25*X25+V26*X26+V27*X27</f>
        <v>64260</v>
      </c>
    </row>
    <row r="30" spans="2:26" ht="15.95" customHeight="1" x14ac:dyDescent="0.15">
      <c r="B30" s="91"/>
      <c r="G30" s="698"/>
      <c r="H30" s="698"/>
      <c r="I30" s="698"/>
      <c r="J30" s="698"/>
      <c r="K30" s="699"/>
      <c r="N30" s="71" t="s">
        <v>198</v>
      </c>
      <c r="O30" s="23">
        <f>O23-2*O27</f>
        <v>56</v>
      </c>
      <c r="P30" s="43" t="s">
        <v>458</v>
      </c>
      <c r="Q30" s="91"/>
      <c r="R30" s="566"/>
      <c r="S30" s="110"/>
      <c r="U30" s="80" t="s">
        <v>174</v>
      </c>
      <c r="V30" s="24">
        <f>X24-Z31</f>
        <v>-53.109947643979055</v>
      </c>
      <c r="W30" s="80" t="s">
        <v>175</v>
      </c>
      <c r="X30" s="24">
        <f>Z24-Z32</f>
        <v>0</v>
      </c>
      <c r="Y30" s="80" t="s">
        <v>176</v>
      </c>
      <c r="Z30" s="24">
        <f>V23*Z23+V24*Z24+V25*Z25+V26*Z26+V27*Z27</f>
        <v>22920</v>
      </c>
    </row>
    <row r="31" spans="2:26" ht="15.95" customHeight="1" x14ac:dyDescent="0.15">
      <c r="B31" s="91"/>
      <c r="G31" s="698"/>
      <c r="H31" s="698"/>
      <c r="I31" s="698"/>
      <c r="J31" s="698"/>
      <c r="K31" s="699"/>
      <c r="N31" s="71" t="s">
        <v>193</v>
      </c>
      <c r="O31" s="23">
        <f>Z33</f>
        <v>1671313.4310645724</v>
      </c>
      <c r="P31" s="43" t="s">
        <v>469</v>
      </c>
      <c r="Q31" s="71" t="s">
        <v>193</v>
      </c>
      <c r="R31" s="565">
        <v>3779510</v>
      </c>
      <c r="S31" s="86" t="s">
        <v>469</v>
      </c>
      <c r="U31" s="80" t="s">
        <v>177</v>
      </c>
      <c r="V31" s="24">
        <f>X25-Z31</f>
        <v>64.890052356020945</v>
      </c>
      <c r="W31" s="80" t="s">
        <v>178</v>
      </c>
      <c r="X31" s="24">
        <f>Z25-Z32</f>
        <v>0</v>
      </c>
      <c r="Y31" s="80" t="s">
        <v>179</v>
      </c>
      <c r="Z31" s="24">
        <f>Z29/(V23+V24+V25+V26+V27)</f>
        <v>84.109947643979055</v>
      </c>
    </row>
    <row r="32" spans="2:26" ht="15.95" customHeight="1" x14ac:dyDescent="0.15">
      <c r="B32" s="91"/>
      <c r="G32" s="698"/>
      <c r="H32" s="698"/>
      <c r="I32" s="698"/>
      <c r="J32" s="698"/>
      <c r="K32" s="699"/>
      <c r="N32" s="71" t="s">
        <v>194</v>
      </c>
      <c r="O32" s="23">
        <f>Z34</f>
        <v>462398.66666666663</v>
      </c>
      <c r="P32" s="43" t="s">
        <v>469</v>
      </c>
      <c r="Q32" s="71" t="s">
        <v>194</v>
      </c>
      <c r="R32" s="565">
        <v>652452</v>
      </c>
      <c r="S32" s="86" t="s">
        <v>472</v>
      </c>
      <c r="U32" s="80" t="s">
        <v>180</v>
      </c>
      <c r="V32" s="24">
        <f>X26-Z31</f>
        <v>5.890052356020945</v>
      </c>
      <c r="W32" s="80" t="s">
        <v>181</v>
      </c>
      <c r="X32" s="24">
        <f>Z26-Z32</f>
        <v>-29</v>
      </c>
      <c r="Y32" s="80" t="s">
        <v>182</v>
      </c>
      <c r="Z32" s="24">
        <f>Z30/(V23+V24+V25+V26+V27)</f>
        <v>30</v>
      </c>
    </row>
    <row r="33" spans="2:26" ht="15.95" customHeight="1" x14ac:dyDescent="0.15">
      <c r="B33" s="91"/>
      <c r="G33" s="698"/>
      <c r="H33" s="698"/>
      <c r="I33" s="698"/>
      <c r="J33" s="698"/>
      <c r="K33" s="699"/>
      <c r="N33" s="71" t="s">
        <v>890</v>
      </c>
      <c r="O33" s="23">
        <f>Z32</f>
        <v>30</v>
      </c>
      <c r="P33" s="43" t="s">
        <v>458</v>
      </c>
      <c r="Q33" s="71" t="s">
        <v>890</v>
      </c>
      <c r="R33" s="565">
        <v>30</v>
      </c>
      <c r="S33" s="86" t="s">
        <v>468</v>
      </c>
      <c r="U33" s="80" t="s">
        <v>183</v>
      </c>
      <c r="V33" s="24">
        <f>X27-Z31</f>
        <v>5.890052356020945</v>
      </c>
      <c r="W33" s="80" t="s">
        <v>184</v>
      </c>
      <c r="X33" s="24">
        <f>Z27-Z32</f>
        <v>29</v>
      </c>
      <c r="Y33" s="80" t="s">
        <v>185</v>
      </c>
      <c r="Z33" s="24">
        <f>((V37*X37*X37*X37)/12+V23*V29*V29)+((X35*V35*V35*V35)/12+V24*V30*V30)+((X35*V35*V35*V35)/12+V25*V31*V31)+((V36*X36*X36*X36)/12+V26*V32*V32)+((V36*X36*X36*X36)/12+V27*V33*V33)</f>
        <v>1671313.4310645724</v>
      </c>
    </row>
    <row r="34" spans="2:26" ht="15.95" customHeight="1" x14ac:dyDescent="0.15">
      <c r="B34" s="71" t="s">
        <v>196</v>
      </c>
      <c r="C34" s="20" t="s">
        <v>154</v>
      </c>
      <c r="D34" s="155">
        <f>IF($J$20=1, O29,Q20)</f>
        <v>150</v>
      </c>
      <c r="E34" s="43" t="s">
        <v>468</v>
      </c>
      <c r="F34" s="89"/>
      <c r="G34" s="698"/>
      <c r="H34" s="698"/>
      <c r="I34" s="698"/>
      <c r="J34" s="698"/>
      <c r="K34" s="699"/>
      <c r="N34" s="71" t="s">
        <v>891</v>
      </c>
      <c r="O34" s="23">
        <f>Z31</f>
        <v>84.109947643979055</v>
      </c>
      <c r="P34" s="43" t="s">
        <v>458</v>
      </c>
      <c r="Q34" s="71" t="s">
        <v>891</v>
      </c>
      <c r="R34" s="565">
        <v>95.14</v>
      </c>
      <c r="S34" s="86" t="s">
        <v>468</v>
      </c>
      <c r="U34" s="38"/>
      <c r="V34" s="24"/>
      <c r="W34" s="38"/>
      <c r="X34" s="24"/>
      <c r="Y34" s="80" t="s">
        <v>186</v>
      </c>
      <c r="Z34" s="24">
        <f>((X37*V37*V37*V37)/12+V23*X29*X29)+((V35*X35*X35*X35)/12+V24*X30*X30)+((V35*X35*X35*X35)/12+V25*X31*X31)+((X36*V36*V36*V36)/12+V26*X32*X32)+((X36*V36*V36*V36)/12+V27*X33*X33)</f>
        <v>462398.66666666663</v>
      </c>
    </row>
    <row r="35" spans="2:26" ht="15.95" customHeight="1" x14ac:dyDescent="0.15">
      <c r="B35" s="71" t="s">
        <v>197</v>
      </c>
      <c r="C35" s="20" t="s">
        <v>154</v>
      </c>
      <c r="D35" s="155">
        <f>IF($J$20=1, O23,Q20)</f>
        <v>60</v>
      </c>
      <c r="E35" s="43" t="s">
        <v>468</v>
      </c>
      <c r="G35" s="698"/>
      <c r="H35" s="698"/>
      <c r="I35" s="698"/>
      <c r="J35" s="698"/>
      <c r="K35" s="699"/>
      <c r="N35" s="71" t="s">
        <v>195</v>
      </c>
      <c r="O35" s="23">
        <f>O31/O34</f>
        <v>19870.579852681814</v>
      </c>
      <c r="P35" s="43" t="s">
        <v>470</v>
      </c>
      <c r="Q35" s="71" t="s">
        <v>195</v>
      </c>
      <c r="R35" s="565">
        <f>R31/R34</f>
        <v>39725.772545722095</v>
      </c>
      <c r="S35" s="86" t="s">
        <v>473</v>
      </c>
      <c r="U35" s="80" t="s">
        <v>462</v>
      </c>
      <c r="V35" s="24">
        <f>O26</f>
        <v>2</v>
      </c>
      <c r="W35" s="80" t="s">
        <v>465</v>
      </c>
      <c r="X35" s="24">
        <f>O30</f>
        <v>56</v>
      </c>
      <c r="Y35" s="38"/>
      <c r="Z35" s="24"/>
    </row>
    <row r="36" spans="2:26" ht="15.95" customHeight="1" thickBot="1" x14ac:dyDescent="0.2">
      <c r="B36" s="71" t="s">
        <v>199</v>
      </c>
      <c r="C36" s="20" t="s">
        <v>154</v>
      </c>
      <c r="D36" s="155">
        <f>IF($J$20=1, O24,Q20)</f>
        <v>120</v>
      </c>
      <c r="E36" s="43" t="s">
        <v>468</v>
      </c>
      <c r="F36" s="89"/>
      <c r="G36" s="698"/>
      <c r="H36" s="698"/>
      <c r="I36" s="698"/>
      <c r="J36" s="698"/>
      <c r="K36" s="699"/>
      <c r="N36" s="87" t="s">
        <v>349</v>
      </c>
      <c r="O36" s="152">
        <f>(2*O27*O26*(O23-O27)^2*(O24-O26)^2)/((O23*O27)+(O24*O26)-O27^2-O26^2)</f>
        <v>1064553.0909090908</v>
      </c>
      <c r="P36" s="153" t="s">
        <v>470</v>
      </c>
      <c r="Q36" s="87" t="s">
        <v>346</v>
      </c>
      <c r="R36" s="152">
        <f>(2*R27*R26*(R23-R27)^2*(R24-R26)^2)/((R23*R27)+(R24*R26)-R27^2-R26^2)</f>
        <v>1064553.0909090908</v>
      </c>
      <c r="S36" s="88" t="s">
        <v>471</v>
      </c>
      <c r="U36" s="80" t="s">
        <v>461</v>
      </c>
      <c r="V36" s="24">
        <f>O27</f>
        <v>2</v>
      </c>
      <c r="W36" s="80" t="s">
        <v>463</v>
      </c>
      <c r="X36" s="24">
        <f>O24</f>
        <v>120</v>
      </c>
      <c r="Y36" s="38"/>
      <c r="Z36" s="24"/>
    </row>
    <row r="37" spans="2:26" ht="15.95" customHeight="1" x14ac:dyDescent="0.15">
      <c r="B37" s="71" t="s">
        <v>519</v>
      </c>
      <c r="C37" s="20" t="s">
        <v>4</v>
      </c>
      <c r="D37" s="155">
        <f>IF($J$20=1, O25,Q20)</f>
        <v>30</v>
      </c>
      <c r="E37" s="43" t="s">
        <v>468</v>
      </c>
      <c r="F37" s="89"/>
      <c r="G37" s="698"/>
      <c r="H37" s="698"/>
      <c r="I37" s="698"/>
      <c r="J37" s="698"/>
      <c r="K37" s="699"/>
      <c r="U37" s="80" t="s">
        <v>467</v>
      </c>
      <c r="V37" s="24">
        <f>O28</f>
        <v>2</v>
      </c>
      <c r="W37" s="80" t="s">
        <v>464</v>
      </c>
      <c r="X37" s="24">
        <f>O25</f>
        <v>30</v>
      </c>
      <c r="Y37" s="38"/>
      <c r="Z37" s="24"/>
    </row>
    <row r="38" spans="2:26" ht="15.95" customHeight="1" x14ac:dyDescent="0.15">
      <c r="B38" s="71" t="s">
        <v>74</v>
      </c>
      <c r="C38" s="20" t="s">
        <v>4</v>
      </c>
      <c r="D38" s="155">
        <f>IF($J$20=1, O26,Q20)</f>
        <v>2</v>
      </c>
      <c r="E38" s="43" t="s">
        <v>468</v>
      </c>
      <c r="F38" s="89"/>
      <c r="G38" s="698"/>
      <c r="H38" s="698"/>
      <c r="I38" s="698"/>
      <c r="J38" s="698"/>
      <c r="K38" s="699"/>
      <c r="N38" s="24" t="s">
        <v>205</v>
      </c>
    </row>
    <row r="39" spans="2:26" ht="15.95" customHeight="1" thickBot="1" x14ac:dyDescent="0.2">
      <c r="B39" s="71" t="s">
        <v>466</v>
      </c>
      <c r="C39" s="20" t="s">
        <v>154</v>
      </c>
      <c r="D39" s="155">
        <f>IF($J$20=1, O27,Q20)</f>
        <v>2</v>
      </c>
      <c r="E39" s="43" t="s">
        <v>468</v>
      </c>
      <c r="G39" s="698"/>
      <c r="H39" s="698"/>
      <c r="I39" s="698"/>
      <c r="J39" s="698"/>
      <c r="K39" s="699"/>
      <c r="L39" s="81"/>
      <c r="M39" s="81"/>
      <c r="N39" s="24" t="s">
        <v>460</v>
      </c>
      <c r="S39" s="69"/>
      <c r="T39" s="70"/>
    </row>
    <row r="40" spans="2:26" ht="15.95" customHeight="1" x14ac:dyDescent="0.15">
      <c r="B40" s="71" t="s">
        <v>192</v>
      </c>
      <c r="C40" s="20" t="s">
        <v>136</v>
      </c>
      <c r="D40" s="155">
        <f>IF($J$20=1, O28,Q20)</f>
        <v>2</v>
      </c>
      <c r="E40" s="43" t="s">
        <v>468</v>
      </c>
      <c r="F40" s="89"/>
      <c r="G40" s="698"/>
      <c r="H40" s="698"/>
      <c r="I40" s="698"/>
      <c r="J40" s="698"/>
      <c r="K40" s="699"/>
      <c r="L40" s="81"/>
      <c r="M40" s="81"/>
      <c r="N40" s="84" t="s">
        <v>193</v>
      </c>
      <c r="O40" s="151">
        <f t="shared" ref="O40:O45" si="0">IF($J$20=1, O31,R31)</f>
        <v>1671313.4310645724</v>
      </c>
      <c r="P40" s="85" t="s">
        <v>469</v>
      </c>
      <c r="Q40" s="72" t="s">
        <v>350</v>
      </c>
      <c r="R40" s="151">
        <f>IF($J$20=1, O30,R23-R27*2)</f>
        <v>56</v>
      </c>
      <c r="S40" s="85" t="s">
        <v>468</v>
      </c>
      <c r="T40" s="44"/>
      <c r="U40" s="44"/>
    </row>
    <row r="41" spans="2:26" ht="15.95" customHeight="1" x14ac:dyDescent="0.15">
      <c r="B41" s="71" t="s">
        <v>361</v>
      </c>
      <c r="C41" s="20" t="s">
        <v>173</v>
      </c>
      <c r="D41" s="167">
        <f>O40</f>
        <v>1671313.4310645724</v>
      </c>
      <c r="E41" s="43" t="s">
        <v>469</v>
      </c>
      <c r="F41" s="89"/>
      <c r="G41" s="698"/>
      <c r="H41" s="698"/>
      <c r="I41" s="698"/>
      <c r="J41" s="698"/>
      <c r="K41" s="699"/>
      <c r="L41" s="81"/>
      <c r="M41" s="81"/>
      <c r="N41" s="71" t="s">
        <v>194</v>
      </c>
      <c r="O41" s="23">
        <f t="shared" si="0"/>
        <v>462398.66666666663</v>
      </c>
      <c r="P41" s="43" t="s">
        <v>469</v>
      </c>
      <c r="Q41" s="73" t="s">
        <v>351</v>
      </c>
      <c r="R41" s="23">
        <f>IF($J$20=1, O24-2*O26,R24-R26*2)</f>
        <v>116</v>
      </c>
      <c r="S41" s="86" t="s">
        <v>468</v>
      </c>
      <c r="U41" s="44"/>
    </row>
    <row r="42" spans="2:26" ht="15.95" customHeight="1" x14ac:dyDescent="0.15">
      <c r="B42" s="71" t="s">
        <v>362</v>
      </c>
      <c r="C42" s="20" t="s">
        <v>173</v>
      </c>
      <c r="D42" s="167">
        <f>O41</f>
        <v>462398.66666666663</v>
      </c>
      <c r="E42" s="43" t="s">
        <v>469</v>
      </c>
      <c r="F42" s="89"/>
      <c r="G42" s="698"/>
      <c r="H42" s="698"/>
      <c r="I42" s="698"/>
      <c r="J42" s="698"/>
      <c r="K42" s="699"/>
      <c r="L42" s="81"/>
      <c r="M42" s="81"/>
      <c r="N42" s="71" t="s">
        <v>890</v>
      </c>
      <c r="O42" s="23">
        <f t="shared" si="0"/>
        <v>30</v>
      </c>
      <c r="P42" s="43" t="s">
        <v>458</v>
      </c>
      <c r="Q42" s="73" t="s">
        <v>352</v>
      </c>
      <c r="R42" s="23">
        <f>IF($J$20=1, O26,R26)</f>
        <v>2</v>
      </c>
      <c r="S42" s="86" t="s">
        <v>468</v>
      </c>
      <c r="T42" s="90"/>
      <c r="U42" s="44"/>
    </row>
    <row r="43" spans="2:26" ht="15.95" customHeight="1" x14ac:dyDescent="0.15">
      <c r="B43" s="71" t="s">
        <v>890</v>
      </c>
      <c r="C43" s="20" t="s">
        <v>173</v>
      </c>
      <c r="D43" s="173">
        <f>O42</f>
        <v>30</v>
      </c>
      <c r="E43" s="43" t="s">
        <v>458</v>
      </c>
      <c r="F43" s="89"/>
      <c r="G43" s="698"/>
      <c r="H43" s="698"/>
      <c r="I43" s="698"/>
      <c r="J43" s="698"/>
      <c r="K43" s="699"/>
      <c r="L43" s="81"/>
      <c r="M43" s="81"/>
      <c r="N43" s="71" t="s">
        <v>891</v>
      </c>
      <c r="O43" s="23">
        <f t="shared" si="0"/>
        <v>84.109947643979055</v>
      </c>
      <c r="P43" s="43" t="s">
        <v>458</v>
      </c>
      <c r="Q43" s="73" t="s">
        <v>353</v>
      </c>
      <c r="R43" s="158">
        <f>IF($J$20=1, O27,R27)</f>
        <v>2</v>
      </c>
      <c r="S43" s="86" t="s">
        <v>468</v>
      </c>
      <c r="T43" s="90"/>
      <c r="U43" s="44"/>
    </row>
    <row r="44" spans="2:26" ht="15.95" customHeight="1" x14ac:dyDescent="0.15">
      <c r="B44" s="71" t="s">
        <v>360</v>
      </c>
      <c r="C44" s="20" t="s">
        <v>173</v>
      </c>
      <c r="D44" s="167">
        <f t="shared" ref="D44:D45" si="1">O44</f>
        <v>19870.579852681814</v>
      </c>
      <c r="E44" s="43" t="s">
        <v>470</v>
      </c>
      <c r="F44" s="89"/>
      <c r="G44" s="698"/>
      <c r="H44" s="698"/>
      <c r="I44" s="698"/>
      <c r="J44" s="698"/>
      <c r="K44" s="699"/>
      <c r="L44" s="81"/>
      <c r="M44" s="81"/>
      <c r="N44" s="71" t="s">
        <v>195</v>
      </c>
      <c r="O44" s="23">
        <f t="shared" si="0"/>
        <v>19870.579852681814</v>
      </c>
      <c r="P44" s="43" t="s">
        <v>470</v>
      </c>
      <c r="Q44" s="91"/>
      <c r="R44" s="81"/>
      <c r="S44" s="92"/>
      <c r="T44" s="90"/>
      <c r="U44" s="44"/>
    </row>
    <row r="45" spans="2:26" ht="15.95" customHeight="1" thickBot="1" x14ac:dyDescent="0.2">
      <c r="B45" s="87" t="s">
        <v>349</v>
      </c>
      <c r="C45" s="33" t="s">
        <v>173</v>
      </c>
      <c r="D45" s="168">
        <f t="shared" si="1"/>
        <v>1064553.0909090908</v>
      </c>
      <c r="E45" s="153" t="s">
        <v>470</v>
      </c>
      <c r="F45" s="163"/>
      <c r="G45" s="700"/>
      <c r="H45" s="700"/>
      <c r="I45" s="700"/>
      <c r="J45" s="700"/>
      <c r="K45" s="701"/>
      <c r="L45" s="81"/>
      <c r="M45" s="81"/>
      <c r="N45" s="87" t="s">
        <v>349</v>
      </c>
      <c r="O45" s="152">
        <f t="shared" si="0"/>
        <v>1064553.0909090908</v>
      </c>
      <c r="P45" s="153" t="s">
        <v>470</v>
      </c>
      <c r="Q45" s="94"/>
      <c r="R45" s="93"/>
      <c r="S45" s="95"/>
      <c r="T45" s="90"/>
      <c r="U45" s="44"/>
    </row>
    <row r="46" spans="2:26" ht="15.95" customHeight="1" x14ac:dyDescent="0.15">
      <c r="B46" s="708" t="s">
        <v>1000</v>
      </c>
      <c r="C46" s="708"/>
      <c r="D46" s="708"/>
      <c r="E46" s="708"/>
      <c r="F46" s="708"/>
      <c r="G46" s="708"/>
      <c r="H46" s="708"/>
      <c r="I46" s="708"/>
      <c r="J46" s="708"/>
      <c r="K46" s="708"/>
      <c r="L46" s="81"/>
      <c r="M46" s="81"/>
    </row>
    <row r="47" spans="2:26" ht="15.95" hidden="1" customHeight="1" x14ac:dyDescent="0.15">
      <c r="B47" s="77" t="s">
        <v>84</v>
      </c>
    </row>
    <row r="48" spans="2:26" ht="15.95" hidden="1" customHeight="1" x14ac:dyDescent="0.15"/>
    <row r="49" spans="1:8" ht="15.95" hidden="1" customHeight="1" x14ac:dyDescent="0.15">
      <c r="B49" s="43" t="s">
        <v>200</v>
      </c>
    </row>
    <row r="50" spans="1:8" ht="15.95" hidden="1" customHeight="1" x14ac:dyDescent="0.15">
      <c r="A50" s="49"/>
    </row>
    <row r="51" spans="1:8" ht="15.95" hidden="1" customHeight="1" x14ac:dyDescent="0.15">
      <c r="A51" s="49"/>
    </row>
    <row r="52" spans="1:8" ht="15.95" hidden="1" customHeight="1" x14ac:dyDescent="0.15">
      <c r="A52" s="49"/>
    </row>
    <row r="53" spans="1:8" ht="15.95" hidden="1" customHeight="1" x14ac:dyDescent="0.15">
      <c r="A53" s="49"/>
    </row>
    <row r="54" spans="1:8" ht="15.95" hidden="1" customHeight="1" x14ac:dyDescent="0.15">
      <c r="A54" s="49"/>
    </row>
    <row r="55" spans="1:8" ht="15.95" hidden="1" customHeight="1" x14ac:dyDescent="0.15">
      <c r="A55" s="49"/>
    </row>
    <row r="56" spans="1:8" ht="15.95" hidden="1" customHeight="1" x14ac:dyDescent="0.15">
      <c r="A56" s="49"/>
    </row>
    <row r="57" spans="1:8" ht="15.95" hidden="1" customHeight="1" x14ac:dyDescent="0.15">
      <c r="A57" s="49"/>
    </row>
    <row r="58" spans="1:8" ht="15.95" hidden="1" customHeight="1" x14ac:dyDescent="0.15">
      <c r="A58" s="49"/>
    </row>
    <row r="59" spans="1:8" ht="15.95" hidden="1" customHeight="1" x14ac:dyDescent="0.15"/>
    <row r="60" spans="1:8" ht="15.95" hidden="1" customHeight="1" x14ac:dyDescent="0.15">
      <c r="B60" s="24" t="s">
        <v>208</v>
      </c>
    </row>
    <row r="61" spans="1:8" ht="15.95" hidden="1" customHeight="1" x14ac:dyDescent="0.15"/>
    <row r="62" spans="1:8" ht="15.95" hidden="1" customHeight="1" x14ac:dyDescent="0.15">
      <c r="B62" s="36" t="s">
        <v>209</v>
      </c>
      <c r="C62" s="20" t="s">
        <v>210</v>
      </c>
      <c r="D62" s="36" t="s">
        <v>211</v>
      </c>
      <c r="E62" s="68"/>
      <c r="F62" s="43"/>
      <c r="G62" s="20" t="s">
        <v>212</v>
      </c>
      <c r="H62" s="36" t="s">
        <v>213</v>
      </c>
    </row>
    <row r="63" spans="1:8" ht="15.95" hidden="1" customHeight="1" x14ac:dyDescent="0.15">
      <c r="B63" s="36" t="s">
        <v>214</v>
      </c>
      <c r="C63" s="20" t="s">
        <v>210</v>
      </c>
      <c r="D63" s="36" t="s">
        <v>215</v>
      </c>
      <c r="E63" s="68"/>
      <c r="F63" s="43"/>
      <c r="G63" s="20"/>
      <c r="H63" s="36"/>
    </row>
    <row r="64" spans="1:8" ht="15.95" hidden="1" customHeight="1" x14ac:dyDescent="0.15">
      <c r="B64" s="36" t="s">
        <v>216</v>
      </c>
      <c r="C64" s="20" t="s">
        <v>210</v>
      </c>
      <c r="D64" s="36" t="s">
        <v>217</v>
      </c>
      <c r="E64" s="68"/>
      <c r="F64" s="43"/>
      <c r="G64" s="20" t="s">
        <v>212</v>
      </c>
      <c r="H64" s="36" t="s">
        <v>218</v>
      </c>
    </row>
    <row r="65" spans="1:14" ht="15.95" hidden="1" customHeight="1" x14ac:dyDescent="0.15">
      <c r="B65" s="36" t="s">
        <v>219</v>
      </c>
      <c r="C65" s="20" t="s">
        <v>210</v>
      </c>
      <c r="D65" s="36" t="s">
        <v>207</v>
      </c>
      <c r="E65" s="68"/>
      <c r="F65" s="43"/>
      <c r="G65" s="20"/>
      <c r="H65" s="36"/>
    </row>
    <row r="66" spans="1:14" ht="15.95" hidden="1" customHeight="1" x14ac:dyDescent="0.15">
      <c r="B66" s="78" t="s">
        <v>120</v>
      </c>
      <c r="C66" s="20" t="s">
        <v>210</v>
      </c>
      <c r="D66" s="36" t="s">
        <v>220</v>
      </c>
      <c r="E66" s="38"/>
      <c r="F66" s="43"/>
      <c r="G66" s="20"/>
      <c r="H66" s="36" t="s">
        <v>221</v>
      </c>
    </row>
    <row r="67" spans="1:14" ht="15.95" hidden="1" customHeight="1" x14ac:dyDescent="0.15"/>
    <row r="68" spans="1:14" ht="15.95" hidden="1" customHeight="1" x14ac:dyDescent="0.15"/>
    <row r="69" spans="1:14" ht="15.95" hidden="1" customHeight="1" x14ac:dyDescent="0.15">
      <c r="A69" s="49"/>
      <c r="B69" s="24" t="s">
        <v>237</v>
      </c>
    </row>
    <row r="70" spans="1:14" ht="15.95" hidden="1" customHeight="1" x14ac:dyDescent="0.15"/>
    <row r="71" spans="1:14" ht="15.95" hidden="1" customHeight="1" x14ac:dyDescent="0.15">
      <c r="B71" s="78" t="s">
        <v>222</v>
      </c>
      <c r="C71" s="20" t="s">
        <v>210</v>
      </c>
      <c r="D71" s="172">
        <f>D11</f>
        <v>4750</v>
      </c>
      <c r="E71" s="43" t="s">
        <v>458</v>
      </c>
      <c r="G71" s="20" t="s">
        <v>223</v>
      </c>
      <c r="H71" s="36" t="s">
        <v>398</v>
      </c>
      <c r="N71" s="36"/>
    </row>
    <row r="72" spans="1:14" ht="15.95" hidden="1" customHeight="1" x14ac:dyDescent="0.15">
      <c r="B72" s="78" t="s">
        <v>224</v>
      </c>
      <c r="C72" s="20" t="s">
        <v>225</v>
      </c>
      <c r="D72" s="172">
        <f>D10</f>
        <v>250</v>
      </c>
      <c r="E72" s="43" t="s">
        <v>458</v>
      </c>
      <c r="G72" s="20" t="s">
        <v>226</v>
      </c>
      <c r="H72" s="36" t="s">
        <v>399</v>
      </c>
      <c r="N72" s="36"/>
    </row>
    <row r="73" spans="1:14" ht="15.95" hidden="1" customHeight="1" x14ac:dyDescent="0.15">
      <c r="B73" s="78" t="s">
        <v>227</v>
      </c>
      <c r="C73" s="20" t="s">
        <v>228</v>
      </c>
      <c r="D73" s="172">
        <f>(D71^2-D72^2)/(2*D71)</f>
        <v>2368.4210526315787</v>
      </c>
      <c r="E73" s="43" t="s">
        <v>458</v>
      </c>
      <c r="G73" s="20" t="s">
        <v>226</v>
      </c>
      <c r="H73" s="36" t="s">
        <v>229</v>
      </c>
      <c r="J73" s="38"/>
      <c r="K73" s="20"/>
      <c r="L73" s="79"/>
      <c r="M73" s="49"/>
      <c r="N73" s="36"/>
    </row>
    <row r="74" spans="1:14" ht="15.95" hidden="1" customHeight="1" x14ac:dyDescent="0.15">
      <c r="B74" s="78" t="s">
        <v>1048</v>
      </c>
      <c r="C74" s="20" t="s">
        <v>230</v>
      </c>
      <c r="D74" s="180">
        <f>0.65*ABS(D5/1000*(D7+D8)/2)</f>
        <v>0</v>
      </c>
      <c r="E74" s="24" t="s">
        <v>477</v>
      </c>
      <c r="G74" s="20" t="s">
        <v>231</v>
      </c>
      <c r="H74" s="36" t="s">
        <v>232</v>
      </c>
    </row>
    <row r="75" spans="1:14" ht="15.95" hidden="1" customHeight="1" x14ac:dyDescent="0.15">
      <c r="B75" s="78" t="s">
        <v>233</v>
      </c>
      <c r="C75" s="20" t="s">
        <v>230</v>
      </c>
      <c r="D75" s="172">
        <f>D6</f>
        <v>69637.021649999995</v>
      </c>
      <c r="E75" s="43" t="s">
        <v>482</v>
      </c>
      <c r="G75" s="20" t="s">
        <v>226</v>
      </c>
      <c r="H75" s="36" t="s">
        <v>234</v>
      </c>
    </row>
    <row r="76" spans="1:14" ht="15.95" hidden="1" customHeight="1" x14ac:dyDescent="0.15">
      <c r="B76" s="78" t="s">
        <v>235</v>
      </c>
      <c r="C76" s="20" t="s">
        <v>228</v>
      </c>
      <c r="D76" s="172">
        <f>D41</f>
        <v>1671313.4310645724</v>
      </c>
      <c r="E76" s="24" t="s">
        <v>475</v>
      </c>
      <c r="G76" s="20" t="s">
        <v>226</v>
      </c>
      <c r="H76" s="36" t="s">
        <v>236</v>
      </c>
    </row>
    <row r="77" spans="1:14" ht="15.95" hidden="1" customHeight="1" x14ac:dyDescent="0.15">
      <c r="F77" s="24" t="s">
        <v>0</v>
      </c>
    </row>
    <row r="78" spans="1:14" ht="15.95" hidden="1" customHeight="1" x14ac:dyDescent="0.15"/>
    <row r="79" spans="1:14" ht="15.95" hidden="1" customHeight="1" x14ac:dyDescent="0.15">
      <c r="A79" s="35"/>
      <c r="B79" s="24" t="s">
        <v>238</v>
      </c>
    </row>
    <row r="80" spans="1:14" ht="15.95" hidden="1" customHeight="1" x14ac:dyDescent="0.15"/>
    <row r="81" spans="1:11" ht="15.95" hidden="1" customHeight="1" x14ac:dyDescent="0.15">
      <c r="A81" s="24" t="s">
        <v>239</v>
      </c>
      <c r="B81" s="78" t="s">
        <v>240</v>
      </c>
      <c r="C81" s="20" t="s">
        <v>210</v>
      </c>
      <c r="D81" s="36" t="s">
        <v>241</v>
      </c>
      <c r="H81" s="78" t="s">
        <v>214</v>
      </c>
      <c r="I81" s="20" t="s">
        <v>210</v>
      </c>
      <c r="J81" s="97" t="s">
        <v>242</v>
      </c>
    </row>
    <row r="82" spans="1:11" ht="15.95" hidden="1" customHeight="1" x14ac:dyDescent="0.15">
      <c r="B82" s="78"/>
      <c r="C82" s="20" t="s">
        <v>281</v>
      </c>
      <c r="D82" s="172">
        <f>D74*(D71^2-D72^2)/(2*D71)</f>
        <v>0</v>
      </c>
      <c r="E82" s="24" t="s">
        <v>476</v>
      </c>
      <c r="H82" s="78"/>
      <c r="I82" s="20" t="s">
        <v>210</v>
      </c>
      <c r="J82" s="172">
        <f>D74*(D71+D72)^2/(2*D71)</f>
        <v>0</v>
      </c>
      <c r="K82" s="24" t="s">
        <v>476</v>
      </c>
    </row>
    <row r="83" spans="1:11" ht="15.95" hidden="1" customHeight="1" x14ac:dyDescent="0.15"/>
    <row r="84" spans="1:11" ht="15.95" hidden="1" customHeight="1" x14ac:dyDescent="0.15">
      <c r="B84" s="78" t="s">
        <v>243</v>
      </c>
      <c r="C84" s="20" t="s">
        <v>210</v>
      </c>
      <c r="D84" s="97" t="s">
        <v>244</v>
      </c>
      <c r="H84" s="78" t="s">
        <v>245</v>
      </c>
      <c r="I84" s="20" t="s">
        <v>210</v>
      </c>
      <c r="J84" s="97" t="s">
        <v>246</v>
      </c>
    </row>
    <row r="85" spans="1:11" ht="15.95" hidden="1" customHeight="1" x14ac:dyDescent="0.15">
      <c r="B85" s="78"/>
      <c r="C85" s="20" t="s">
        <v>210</v>
      </c>
      <c r="D85" s="172">
        <f>(D74*D72^2/2)</f>
        <v>0</v>
      </c>
      <c r="E85" s="43" t="s">
        <v>498</v>
      </c>
      <c r="H85" s="78"/>
      <c r="I85" s="20" t="s">
        <v>210</v>
      </c>
      <c r="J85" s="172">
        <f>((D82*D73)-(D74*D73^2/2))</f>
        <v>0</v>
      </c>
      <c r="K85" s="43" t="s">
        <v>498</v>
      </c>
    </row>
    <row r="86" spans="1:11" ht="15.95" hidden="1" customHeight="1" x14ac:dyDescent="0.15"/>
    <row r="87" spans="1:11" ht="15.95" hidden="1" customHeight="1" x14ac:dyDescent="0.15">
      <c r="B87" s="78" t="s">
        <v>108</v>
      </c>
      <c r="C87" s="20" t="s">
        <v>210</v>
      </c>
      <c r="D87" s="97" t="s">
        <v>247</v>
      </c>
    </row>
    <row r="88" spans="1:11" ht="15.95" hidden="1" customHeight="1" x14ac:dyDescent="0.15">
      <c r="B88" s="78"/>
      <c r="C88" s="20" t="s">
        <v>210</v>
      </c>
      <c r="D88" s="79">
        <f>(D74*D72^4/(8*D75*D76))+((D74*D71*D72*(4*D72^2-D71^2))/(24*D75*D76))</f>
        <v>0</v>
      </c>
      <c r="E88" s="43" t="s">
        <v>458</v>
      </c>
    </row>
    <row r="89" spans="1:11" ht="15.95" hidden="1" customHeight="1" x14ac:dyDescent="0.15"/>
    <row r="90" spans="1:11" ht="15.95" hidden="1" customHeight="1" x14ac:dyDescent="0.15">
      <c r="B90" s="78" t="s">
        <v>248</v>
      </c>
      <c r="C90" s="20" t="s">
        <v>210</v>
      </c>
      <c r="D90" s="97" t="s">
        <v>249</v>
      </c>
    </row>
    <row r="91" spans="1:11" ht="15.95" hidden="1" customHeight="1" x14ac:dyDescent="0.15">
      <c r="B91" s="68"/>
      <c r="C91" s="20" t="s">
        <v>210</v>
      </c>
      <c r="D91" s="30">
        <f>(5*D74*D71^4/(384*D75*D76))-(D85*D71^2/(16*D75*D76))</f>
        <v>0</v>
      </c>
      <c r="E91" s="43" t="s">
        <v>458</v>
      </c>
    </row>
    <row r="92" spans="1:11" ht="15.95" hidden="1" customHeight="1" x14ac:dyDescent="0.15"/>
    <row r="93" spans="1:11" ht="15.95" hidden="1" customHeight="1" x14ac:dyDescent="0.15">
      <c r="B93" s="43" t="s">
        <v>201</v>
      </c>
    </row>
    <row r="94" spans="1:11" ht="15.95" hidden="1" customHeight="1" x14ac:dyDescent="0.15">
      <c r="A94" s="49"/>
    </row>
    <row r="95" spans="1:11" ht="15.95" hidden="1" customHeight="1" x14ac:dyDescent="0.15">
      <c r="A95" s="49"/>
    </row>
    <row r="96" spans="1:11" ht="15.95" hidden="1" customHeight="1" x14ac:dyDescent="0.15">
      <c r="A96" s="49"/>
    </row>
    <row r="97" spans="1:8" ht="15.95" hidden="1" customHeight="1" x14ac:dyDescent="0.15">
      <c r="A97" s="49"/>
    </row>
    <row r="98" spans="1:8" ht="15.95" hidden="1" customHeight="1" x14ac:dyDescent="0.15">
      <c r="A98" s="49"/>
    </row>
    <row r="99" spans="1:8" ht="15.95" hidden="1" customHeight="1" x14ac:dyDescent="0.15">
      <c r="A99" s="49"/>
    </row>
    <row r="100" spans="1:8" ht="15.95" hidden="1" customHeight="1" x14ac:dyDescent="0.15">
      <c r="A100" s="49"/>
    </row>
    <row r="101" spans="1:8" ht="15.95" hidden="1" customHeight="1" x14ac:dyDescent="0.15">
      <c r="A101" s="49"/>
    </row>
    <row r="102" spans="1:8" ht="15.95" hidden="1" customHeight="1" x14ac:dyDescent="0.15">
      <c r="A102" s="49"/>
    </row>
    <row r="103" spans="1:8" ht="15.95" hidden="1" customHeight="1" x14ac:dyDescent="0.15">
      <c r="A103" s="49"/>
    </row>
    <row r="104" spans="1:8" ht="15.95" hidden="1" customHeight="1" x14ac:dyDescent="0.15"/>
    <row r="105" spans="1:8" ht="15.95" hidden="1" customHeight="1" x14ac:dyDescent="0.15">
      <c r="B105" s="24" t="s">
        <v>250</v>
      </c>
    </row>
    <row r="106" spans="1:8" ht="15.95" hidden="1" customHeight="1" x14ac:dyDescent="0.15"/>
    <row r="107" spans="1:8" ht="15.95" hidden="1" customHeight="1" x14ac:dyDescent="0.15">
      <c r="B107" s="78" t="s">
        <v>240</v>
      </c>
      <c r="C107" s="20" t="s">
        <v>210</v>
      </c>
      <c r="D107" s="36" t="s">
        <v>251</v>
      </c>
      <c r="E107" s="68"/>
      <c r="G107" s="20" t="s">
        <v>212</v>
      </c>
      <c r="H107" s="98" t="s">
        <v>213</v>
      </c>
    </row>
    <row r="108" spans="1:8" ht="15.95" hidden="1" customHeight="1" x14ac:dyDescent="0.15">
      <c r="B108" s="78" t="s">
        <v>214</v>
      </c>
      <c r="C108" s="20" t="s">
        <v>210</v>
      </c>
      <c r="D108" s="99" t="s">
        <v>252</v>
      </c>
    </row>
    <row r="109" spans="1:8" ht="15.95" hidden="1" customHeight="1" x14ac:dyDescent="0.15"/>
    <row r="110" spans="1:8" ht="15.95" hidden="1" customHeight="1" x14ac:dyDescent="0.15"/>
    <row r="111" spans="1:8" ht="15.95" hidden="1" customHeight="1" x14ac:dyDescent="0.15">
      <c r="A111" s="49"/>
      <c r="B111" s="24" t="s">
        <v>237</v>
      </c>
    </row>
    <row r="112" spans="1:8" ht="15.95" hidden="1" customHeight="1" x14ac:dyDescent="0.15"/>
    <row r="113" spans="1:8" ht="15.95" hidden="1" customHeight="1" x14ac:dyDescent="0.15">
      <c r="B113" s="98" t="s">
        <v>222</v>
      </c>
      <c r="C113" s="20" t="s">
        <v>210</v>
      </c>
      <c r="D113" s="172">
        <f>D11</f>
        <v>4750</v>
      </c>
      <c r="E113" s="43" t="s">
        <v>458</v>
      </c>
      <c r="G113" s="20" t="s">
        <v>212</v>
      </c>
      <c r="H113" s="36" t="s">
        <v>254</v>
      </c>
    </row>
    <row r="114" spans="1:8" ht="15.95" hidden="1" customHeight="1" x14ac:dyDescent="0.15">
      <c r="B114" s="36" t="s">
        <v>255</v>
      </c>
      <c r="C114" s="20" t="s">
        <v>210</v>
      </c>
      <c r="D114" s="172">
        <f>D10</f>
        <v>250</v>
      </c>
      <c r="E114" s="43" t="s">
        <v>458</v>
      </c>
      <c r="G114" s="20" t="s">
        <v>212</v>
      </c>
      <c r="H114" s="36" t="s">
        <v>256</v>
      </c>
    </row>
    <row r="115" spans="1:8" ht="15.95" hidden="1" customHeight="1" x14ac:dyDescent="0.15">
      <c r="B115" s="100" t="s">
        <v>257</v>
      </c>
      <c r="C115" s="20" t="s">
        <v>210</v>
      </c>
      <c r="D115" s="172">
        <f>D82</f>
        <v>0</v>
      </c>
      <c r="E115" s="24" t="s">
        <v>476</v>
      </c>
      <c r="G115" s="20" t="s">
        <v>258</v>
      </c>
      <c r="H115" s="36" t="s">
        <v>259</v>
      </c>
    </row>
    <row r="116" spans="1:8" ht="15.95" hidden="1" customHeight="1" x14ac:dyDescent="0.15">
      <c r="F116" s="24" t="s">
        <v>0</v>
      </c>
    </row>
    <row r="117" spans="1:8" ht="15.95" hidden="1" customHeight="1" x14ac:dyDescent="0.15"/>
    <row r="118" spans="1:8" ht="15.95" hidden="1" customHeight="1" x14ac:dyDescent="0.15">
      <c r="A118" s="35"/>
      <c r="B118" s="24" t="s">
        <v>238</v>
      </c>
    </row>
    <row r="119" spans="1:8" ht="15.95" hidden="1" customHeight="1" x14ac:dyDescent="0.15"/>
    <row r="120" spans="1:8" ht="15.95" hidden="1" customHeight="1" x14ac:dyDescent="0.15">
      <c r="A120" s="24" t="s">
        <v>239</v>
      </c>
      <c r="B120" s="78" t="s">
        <v>240</v>
      </c>
      <c r="C120" s="20" t="s">
        <v>210</v>
      </c>
      <c r="D120" s="36" t="s">
        <v>260</v>
      </c>
    </row>
    <row r="121" spans="1:8" ht="15.95" hidden="1" customHeight="1" x14ac:dyDescent="0.15">
      <c r="B121" s="49"/>
      <c r="C121" s="20" t="s">
        <v>210</v>
      </c>
      <c r="D121" s="172">
        <f>D115*D114/D113</f>
        <v>0</v>
      </c>
      <c r="E121" s="24" t="s">
        <v>476</v>
      </c>
    </row>
    <row r="122" spans="1:8" ht="15.95" hidden="1" customHeight="1" x14ac:dyDescent="0.15">
      <c r="B122" s="78" t="s">
        <v>214</v>
      </c>
      <c r="C122" s="20" t="s">
        <v>210</v>
      </c>
      <c r="D122" s="99" t="s">
        <v>509</v>
      </c>
    </row>
    <row r="123" spans="1:8" ht="15.95" hidden="1" customHeight="1" x14ac:dyDescent="0.15">
      <c r="B123" s="49"/>
      <c r="C123" s="20" t="s">
        <v>210</v>
      </c>
      <c r="D123" s="172">
        <f>(D114+D113)/D113*D115</f>
        <v>0</v>
      </c>
      <c r="E123" s="24" t="s">
        <v>476</v>
      </c>
    </row>
    <row r="124" spans="1:8" ht="15.95" hidden="1" customHeight="1" x14ac:dyDescent="0.15">
      <c r="B124" s="49"/>
      <c r="C124" s="20"/>
      <c r="D124" s="79"/>
    </row>
    <row r="125" spans="1:8" ht="15.95" hidden="1" customHeight="1" x14ac:dyDescent="0.15">
      <c r="B125" s="49"/>
      <c r="C125" s="20"/>
      <c r="D125" s="79"/>
    </row>
    <row r="126" spans="1:8" ht="15.95" hidden="1" customHeight="1" x14ac:dyDescent="0.15">
      <c r="B126" s="49"/>
      <c r="C126" s="20"/>
      <c r="D126" s="79"/>
    </row>
    <row r="127" spans="1:8" ht="15.95" hidden="1" customHeight="1" x14ac:dyDescent="0.15">
      <c r="B127" s="49"/>
      <c r="C127" s="20"/>
      <c r="D127" s="79"/>
    </row>
    <row r="128" spans="1:8" ht="15.95" hidden="1" customHeight="1" x14ac:dyDescent="0.15">
      <c r="B128" s="49"/>
      <c r="C128" s="20"/>
      <c r="D128" s="79"/>
    </row>
    <row r="129" spans="1:4" ht="15.95" hidden="1" customHeight="1" x14ac:dyDescent="0.15">
      <c r="B129" s="49"/>
      <c r="C129" s="20"/>
      <c r="D129" s="79"/>
    </row>
    <row r="130" spans="1:4" ht="15.95" hidden="1" customHeight="1" x14ac:dyDescent="0.15">
      <c r="B130" s="49"/>
      <c r="C130" s="20"/>
      <c r="D130" s="79"/>
    </row>
    <row r="131" spans="1:4" ht="15.95" hidden="1" customHeight="1" x14ac:dyDescent="0.15">
      <c r="B131" s="49"/>
      <c r="C131" s="20"/>
      <c r="D131" s="79"/>
    </row>
    <row r="132" spans="1:4" ht="15.95" hidden="1" customHeight="1" x14ac:dyDescent="0.15">
      <c r="B132" s="49"/>
      <c r="C132" s="20"/>
      <c r="D132" s="79"/>
    </row>
    <row r="133" spans="1:4" ht="15.95" hidden="1" customHeight="1" x14ac:dyDescent="0.15">
      <c r="B133" s="49"/>
      <c r="C133" s="20"/>
      <c r="D133" s="79"/>
    </row>
    <row r="134" spans="1:4" ht="15.95" hidden="1" customHeight="1" x14ac:dyDescent="0.15">
      <c r="B134" s="49"/>
      <c r="C134" s="20"/>
      <c r="D134" s="79"/>
    </row>
    <row r="135" spans="1:4" ht="15.95" hidden="1" customHeight="1" x14ac:dyDescent="0.15">
      <c r="B135" s="49"/>
      <c r="C135" s="20"/>
      <c r="D135" s="79"/>
    </row>
    <row r="136" spans="1:4" ht="15.95" hidden="1" customHeight="1" x14ac:dyDescent="0.15">
      <c r="B136" s="49"/>
      <c r="C136" s="20"/>
      <c r="D136" s="79"/>
    </row>
    <row r="137" spans="1:4" ht="15.95" hidden="1" customHeight="1" x14ac:dyDescent="0.15">
      <c r="B137" s="49"/>
      <c r="C137" s="20"/>
      <c r="D137" s="79"/>
    </row>
    <row r="138" spans="1:4" ht="15.95" hidden="1" customHeight="1" x14ac:dyDescent="0.15">
      <c r="B138" s="49"/>
      <c r="C138" s="20"/>
      <c r="D138" s="79"/>
    </row>
    <row r="139" spans="1:4" ht="15.95" hidden="1" customHeight="1" x14ac:dyDescent="0.15">
      <c r="B139" s="43" t="s">
        <v>202</v>
      </c>
    </row>
    <row r="140" spans="1:4" ht="15.95" hidden="1" customHeight="1" x14ac:dyDescent="0.15">
      <c r="A140" s="49"/>
    </row>
    <row r="141" spans="1:4" ht="15.95" hidden="1" customHeight="1" x14ac:dyDescent="0.15">
      <c r="A141" s="49"/>
    </row>
    <row r="142" spans="1:4" ht="15.95" hidden="1" customHeight="1" x14ac:dyDescent="0.15">
      <c r="A142" s="49"/>
    </row>
    <row r="143" spans="1:4" ht="15.95" hidden="1" customHeight="1" x14ac:dyDescent="0.15">
      <c r="A143" s="49"/>
    </row>
    <row r="144" spans="1:4" ht="15.95" hidden="1" customHeight="1" x14ac:dyDescent="0.15">
      <c r="A144" s="49"/>
    </row>
    <row r="145" spans="1:14" ht="15.95" hidden="1" customHeight="1" x14ac:dyDescent="0.15">
      <c r="A145" s="49"/>
    </row>
    <row r="146" spans="1:14" ht="15.95" hidden="1" customHeight="1" x14ac:dyDescent="0.15">
      <c r="A146" s="49"/>
    </row>
    <row r="147" spans="1:14" ht="15.95" hidden="1" customHeight="1" x14ac:dyDescent="0.15">
      <c r="A147" s="49"/>
    </row>
    <row r="148" spans="1:14" ht="15.95" hidden="1" customHeight="1" x14ac:dyDescent="0.15">
      <c r="A148" s="49"/>
    </row>
    <row r="149" spans="1:14" ht="15.95" hidden="1" customHeight="1" x14ac:dyDescent="0.15">
      <c r="A149" s="49"/>
    </row>
    <row r="150" spans="1:14" ht="15.95" hidden="1" customHeight="1" x14ac:dyDescent="0.15"/>
    <row r="151" spans="1:14" ht="15.95" hidden="1" customHeight="1" x14ac:dyDescent="0.15">
      <c r="B151" s="24" t="s">
        <v>250</v>
      </c>
    </row>
    <row r="152" spans="1:14" ht="15.95" hidden="1" customHeight="1" x14ac:dyDescent="0.15"/>
    <row r="153" spans="1:14" ht="15.95" hidden="1" customHeight="1" x14ac:dyDescent="0.15">
      <c r="B153" s="78" t="s">
        <v>240</v>
      </c>
      <c r="C153" s="20" t="s">
        <v>210</v>
      </c>
      <c r="D153" s="36" t="s">
        <v>260</v>
      </c>
      <c r="E153" s="68"/>
      <c r="G153" s="20" t="s">
        <v>212</v>
      </c>
      <c r="H153" s="98" t="s">
        <v>213</v>
      </c>
    </row>
    <row r="154" spans="1:14" ht="15.95" hidden="1" customHeight="1" x14ac:dyDescent="0.15">
      <c r="B154" s="78" t="s">
        <v>214</v>
      </c>
      <c r="C154" s="20" t="s">
        <v>210</v>
      </c>
      <c r="D154" s="99" t="s">
        <v>261</v>
      </c>
      <c r="E154" s="68"/>
    </row>
    <row r="155" spans="1:14" ht="15.95" hidden="1" customHeight="1" x14ac:dyDescent="0.15">
      <c r="B155" s="78" t="s">
        <v>216</v>
      </c>
      <c r="C155" s="20" t="s">
        <v>210</v>
      </c>
      <c r="D155" s="36" t="s">
        <v>262</v>
      </c>
      <c r="E155" s="68"/>
      <c r="G155" s="20" t="s">
        <v>212</v>
      </c>
      <c r="H155" s="36" t="s">
        <v>218</v>
      </c>
    </row>
    <row r="156" spans="1:14" ht="15.95" hidden="1" customHeight="1" x14ac:dyDescent="0.15">
      <c r="B156" s="78" t="s">
        <v>263</v>
      </c>
      <c r="C156" s="20" t="s">
        <v>210</v>
      </c>
      <c r="D156" s="36" t="s">
        <v>264</v>
      </c>
      <c r="E156" s="68"/>
      <c r="G156" s="36" t="s">
        <v>265</v>
      </c>
      <c r="H156" s="36"/>
      <c r="N156" s="43"/>
    </row>
    <row r="157" spans="1:14" ht="15.95" hidden="1" customHeight="1" x14ac:dyDescent="0.15">
      <c r="B157" s="78" t="s">
        <v>266</v>
      </c>
      <c r="C157" s="20" t="s">
        <v>210</v>
      </c>
      <c r="D157" s="36" t="s">
        <v>267</v>
      </c>
      <c r="E157" s="38"/>
      <c r="G157" s="20" t="s">
        <v>212</v>
      </c>
      <c r="H157" s="36" t="s">
        <v>221</v>
      </c>
      <c r="N157" s="43"/>
    </row>
    <row r="158" spans="1:14" ht="15.95" hidden="1" customHeight="1" x14ac:dyDescent="0.15"/>
    <row r="159" spans="1:14" ht="15.95" hidden="1" customHeight="1" x14ac:dyDescent="0.15"/>
    <row r="160" spans="1:14" ht="15.95" hidden="1" customHeight="1" x14ac:dyDescent="0.15">
      <c r="A160" s="49"/>
      <c r="B160" s="24" t="s">
        <v>237</v>
      </c>
    </row>
    <row r="161" spans="1:11" ht="15.95" hidden="1" customHeight="1" x14ac:dyDescent="0.15"/>
    <row r="162" spans="1:11" ht="15.95" hidden="1" customHeight="1" x14ac:dyDescent="0.15">
      <c r="B162" s="98" t="s">
        <v>222</v>
      </c>
      <c r="C162" s="20" t="s">
        <v>210</v>
      </c>
      <c r="D162" s="172">
        <f>D71</f>
        <v>4750</v>
      </c>
      <c r="E162" s="43" t="s">
        <v>458</v>
      </c>
      <c r="F162" s="43"/>
      <c r="G162" s="20" t="s">
        <v>212</v>
      </c>
      <c r="H162" s="36" t="s">
        <v>254</v>
      </c>
    </row>
    <row r="163" spans="1:11" ht="15.95" hidden="1" customHeight="1" x14ac:dyDescent="0.15">
      <c r="B163" s="36" t="s">
        <v>255</v>
      </c>
      <c r="C163" s="20" t="s">
        <v>210</v>
      </c>
      <c r="D163" s="172">
        <f>D72</f>
        <v>250</v>
      </c>
      <c r="E163" s="43" t="s">
        <v>458</v>
      </c>
      <c r="F163" s="43"/>
      <c r="G163" s="20" t="s">
        <v>212</v>
      </c>
      <c r="H163" s="36" t="s">
        <v>256</v>
      </c>
    </row>
    <row r="164" spans="1:11" ht="15.95" hidden="1" customHeight="1" x14ac:dyDescent="0.15">
      <c r="B164" s="36" t="s">
        <v>268</v>
      </c>
      <c r="C164" s="20" t="s">
        <v>210</v>
      </c>
      <c r="D164" s="172">
        <f>(D162^2-D163^2)/(2*D162)</f>
        <v>2368.4210526315787</v>
      </c>
      <c r="E164" s="43" t="s">
        <v>458</v>
      </c>
      <c r="F164" s="43"/>
      <c r="G164" s="20" t="s">
        <v>212</v>
      </c>
      <c r="H164" s="36" t="s">
        <v>269</v>
      </c>
      <c r="K164" s="36"/>
    </row>
    <row r="165" spans="1:11" ht="15.95" hidden="1" customHeight="1" x14ac:dyDescent="0.15">
      <c r="B165" s="100" t="s">
        <v>257</v>
      </c>
      <c r="C165" s="20" t="s">
        <v>210</v>
      </c>
      <c r="D165" s="172">
        <f>D82</f>
        <v>0</v>
      </c>
      <c r="E165" s="24" t="s">
        <v>476</v>
      </c>
      <c r="G165" s="20" t="s">
        <v>258</v>
      </c>
      <c r="H165" s="36" t="s">
        <v>270</v>
      </c>
    </row>
    <row r="166" spans="1:11" ht="15.95" hidden="1" customHeight="1" x14ac:dyDescent="0.15">
      <c r="B166" s="100" t="s">
        <v>271</v>
      </c>
      <c r="C166" s="20" t="s">
        <v>272</v>
      </c>
      <c r="D166" s="172">
        <f>D165-D121</f>
        <v>0</v>
      </c>
      <c r="E166" s="24" t="s">
        <v>476</v>
      </c>
      <c r="F166" s="43"/>
      <c r="G166" s="20" t="s">
        <v>258</v>
      </c>
      <c r="H166" s="36" t="s">
        <v>273</v>
      </c>
      <c r="K166" s="36"/>
    </row>
    <row r="167" spans="1:11" ht="15.95" hidden="1" customHeight="1" x14ac:dyDescent="0.15">
      <c r="B167" s="78" t="s">
        <v>274</v>
      </c>
      <c r="C167" s="20" t="s">
        <v>272</v>
      </c>
      <c r="D167" s="172">
        <f>D75</f>
        <v>69637.021649999995</v>
      </c>
      <c r="E167" s="43" t="s">
        <v>457</v>
      </c>
      <c r="G167" s="20" t="s">
        <v>275</v>
      </c>
      <c r="H167" s="36" t="s">
        <v>276</v>
      </c>
    </row>
    <row r="168" spans="1:11" ht="15.95" hidden="1" customHeight="1" x14ac:dyDescent="0.15">
      <c r="B168" s="78" t="s">
        <v>277</v>
      </c>
      <c r="C168" s="20" t="s">
        <v>278</v>
      </c>
      <c r="D168" s="172">
        <f>D76</f>
        <v>1671313.4310645724</v>
      </c>
      <c r="E168" s="24" t="s">
        <v>475</v>
      </c>
      <c r="G168" s="20" t="s">
        <v>279</v>
      </c>
      <c r="H168" s="36" t="s">
        <v>280</v>
      </c>
    </row>
    <row r="169" spans="1:11" ht="15.95" hidden="1" customHeight="1" x14ac:dyDescent="0.15">
      <c r="F169" s="24" t="s">
        <v>0</v>
      </c>
    </row>
    <row r="170" spans="1:11" ht="15.95" hidden="1" customHeight="1" x14ac:dyDescent="0.15"/>
    <row r="171" spans="1:11" ht="15.95" hidden="1" customHeight="1" x14ac:dyDescent="0.15">
      <c r="A171" s="35"/>
      <c r="B171" s="24" t="s">
        <v>238</v>
      </c>
    </row>
    <row r="172" spans="1:11" ht="15.95" hidden="1" customHeight="1" x14ac:dyDescent="0.15"/>
    <row r="173" spans="1:11" ht="15.95" hidden="1" customHeight="1" x14ac:dyDescent="0.15">
      <c r="A173" s="24" t="s">
        <v>239</v>
      </c>
      <c r="B173" s="78" t="s">
        <v>240</v>
      </c>
      <c r="C173" s="20" t="s">
        <v>210</v>
      </c>
      <c r="D173" s="36" t="s">
        <v>260</v>
      </c>
      <c r="H173" s="78" t="s">
        <v>214</v>
      </c>
      <c r="I173" s="20" t="s">
        <v>210</v>
      </c>
      <c r="J173" s="99" t="s">
        <v>509</v>
      </c>
    </row>
    <row r="174" spans="1:11" ht="15.95" hidden="1" customHeight="1" x14ac:dyDescent="0.15">
      <c r="B174" s="78"/>
      <c r="C174" s="20" t="s">
        <v>210</v>
      </c>
      <c r="D174" s="172">
        <f>D166*D163/D162</f>
        <v>0</v>
      </c>
      <c r="E174" s="24" t="s">
        <v>476</v>
      </c>
      <c r="H174" s="49"/>
      <c r="I174" s="20" t="s">
        <v>210</v>
      </c>
      <c r="J174" s="172">
        <f>(D163+D162)/D162*D166</f>
        <v>0</v>
      </c>
      <c r="K174" s="24" t="s">
        <v>476</v>
      </c>
    </row>
    <row r="175" spans="1:11" ht="15.95" hidden="1" customHeight="1" x14ac:dyDescent="0.15"/>
    <row r="176" spans="1:11" ht="15.95" hidden="1" customHeight="1" x14ac:dyDescent="0.15">
      <c r="B176" s="78" t="s">
        <v>216</v>
      </c>
      <c r="C176" s="20" t="s">
        <v>210</v>
      </c>
      <c r="D176" s="36" t="s">
        <v>262</v>
      </c>
      <c r="H176" s="78" t="s">
        <v>263</v>
      </c>
      <c r="I176" s="20" t="s">
        <v>210</v>
      </c>
      <c r="J176" s="36" t="s">
        <v>264</v>
      </c>
    </row>
    <row r="177" spans="1:26" ht="15.95" hidden="1" customHeight="1" x14ac:dyDescent="0.15">
      <c r="C177" s="20" t="s">
        <v>210</v>
      </c>
      <c r="D177" s="172">
        <f>(D166*D163)</f>
        <v>0</v>
      </c>
      <c r="E177" s="43" t="s">
        <v>510</v>
      </c>
      <c r="I177" s="20" t="s">
        <v>210</v>
      </c>
      <c r="J177" s="172">
        <f>((D166*D163)*(D164/D162))</f>
        <v>0</v>
      </c>
      <c r="K177" s="43" t="s">
        <v>510</v>
      </c>
    </row>
    <row r="178" spans="1:26" ht="15.95" hidden="1" customHeight="1" x14ac:dyDescent="0.15"/>
    <row r="179" spans="1:26" ht="15.95" hidden="1" customHeight="1" x14ac:dyDescent="0.15">
      <c r="B179" s="78" t="s">
        <v>282</v>
      </c>
      <c r="C179" s="20" t="s">
        <v>210</v>
      </c>
      <c r="D179" s="97" t="s">
        <v>283</v>
      </c>
    </row>
    <row r="180" spans="1:26" ht="15.95" hidden="1" customHeight="1" x14ac:dyDescent="0.15">
      <c r="B180" s="68"/>
      <c r="C180" s="20" t="s">
        <v>284</v>
      </c>
      <c r="D180" s="79">
        <f>((D166*D163^2*(D162+D163))/(3*D167*D168))</f>
        <v>0</v>
      </c>
      <c r="E180" s="43" t="s">
        <v>478</v>
      </c>
    </row>
    <row r="181" spans="1:26" ht="15.95" hidden="1" customHeight="1" x14ac:dyDescent="0.15"/>
    <row r="182" spans="1:26" ht="15.95" hidden="1" customHeight="1" x14ac:dyDescent="0.15">
      <c r="B182" s="78" t="s">
        <v>285</v>
      </c>
      <c r="C182" s="20" t="s">
        <v>230</v>
      </c>
      <c r="D182" s="36" t="s">
        <v>286</v>
      </c>
    </row>
    <row r="183" spans="1:26" ht="15.95" hidden="1" customHeight="1" x14ac:dyDescent="0.15">
      <c r="B183" s="68"/>
      <c r="C183" s="20" t="s">
        <v>230</v>
      </c>
      <c r="D183" s="79">
        <f>(0.0642*D166*D163*D162^2/(D167*D168))</f>
        <v>0</v>
      </c>
      <c r="E183" s="43" t="s">
        <v>478</v>
      </c>
    </row>
    <row r="184" spans="1:26" ht="15.95" hidden="1" customHeight="1" x14ac:dyDescent="0.15"/>
    <row r="185" spans="1:26" ht="15.95" hidden="1" customHeight="1" x14ac:dyDescent="0.15">
      <c r="A185" s="43"/>
      <c r="B185" s="77" t="s">
        <v>345</v>
      </c>
      <c r="C185" s="43"/>
      <c r="D185" s="43"/>
      <c r="E185" s="43"/>
      <c r="F185" s="43"/>
      <c r="G185" s="43"/>
      <c r="H185" s="43"/>
      <c r="I185" s="43"/>
      <c r="J185" s="43"/>
      <c r="K185" s="43"/>
      <c r="L185" s="43"/>
      <c r="N185" s="45" t="s">
        <v>355</v>
      </c>
      <c r="O185" s="361">
        <f>G6</f>
        <v>5</v>
      </c>
      <c r="P185" s="46"/>
    </row>
    <row r="186" spans="1:26" s="47" customFormat="1" ht="15.95" hidden="1" customHeight="1" x14ac:dyDescent="0.15">
      <c r="J186" s="48"/>
      <c r="K186" s="37"/>
      <c r="L186" s="48"/>
      <c r="M186" s="48"/>
      <c r="N186" s="37"/>
      <c r="O186" s="37"/>
      <c r="P186" s="37"/>
      <c r="V186" s="52"/>
      <c r="X186" s="52"/>
      <c r="Z186" s="52"/>
    </row>
    <row r="187" spans="1:26" s="47" customFormat="1" ht="15.95" hidden="1" customHeight="1" x14ac:dyDescent="0.15">
      <c r="A187" s="24"/>
      <c r="B187" s="49" t="s">
        <v>289</v>
      </c>
      <c r="C187" s="49"/>
      <c r="G187" s="50" t="s">
        <v>290</v>
      </c>
      <c r="H187" s="101"/>
      <c r="I187" s="43"/>
      <c r="J187" s="102"/>
      <c r="K187" s="51"/>
      <c r="L187" s="24"/>
      <c r="M187" s="24"/>
      <c r="N187" s="52" t="s">
        <v>291</v>
      </c>
      <c r="O187" s="360">
        <v>14</v>
      </c>
      <c r="P187" s="24"/>
      <c r="S187" s="24"/>
      <c r="V187" s="52"/>
      <c r="X187" s="52"/>
      <c r="Z187" s="52"/>
    </row>
    <row r="188" spans="1:26" s="47" customFormat="1" ht="15.95" hidden="1" customHeight="1" x14ac:dyDescent="0.15">
      <c r="A188" s="24"/>
      <c r="B188" s="49"/>
      <c r="C188" s="24"/>
      <c r="D188" s="24"/>
      <c r="E188" s="24"/>
      <c r="G188" s="37"/>
      <c r="I188" s="24"/>
      <c r="J188" s="49"/>
      <c r="K188" s="38"/>
      <c r="L188" s="24"/>
      <c r="M188" s="38" t="s">
        <v>292</v>
      </c>
      <c r="N188" s="103">
        <v>5</v>
      </c>
      <c r="O188" s="103">
        <v>6</v>
      </c>
      <c r="Q188" s="702" t="s">
        <v>293</v>
      </c>
      <c r="R188" s="703"/>
      <c r="S188" s="704" t="s">
        <v>343</v>
      </c>
      <c r="T188" s="705"/>
      <c r="U188" s="706"/>
      <c r="V188" s="52"/>
      <c r="X188" s="52"/>
      <c r="Z188" s="52"/>
    </row>
    <row r="189" spans="1:26" s="47" customFormat="1" ht="15.95" hidden="1" customHeight="1" x14ac:dyDescent="0.15">
      <c r="A189" s="24"/>
      <c r="B189" s="36" t="s">
        <v>344</v>
      </c>
      <c r="C189" s="20" t="s">
        <v>4</v>
      </c>
      <c r="D189" s="176">
        <f>D12</f>
        <v>2600</v>
      </c>
      <c r="E189" s="29" t="s">
        <v>479</v>
      </c>
      <c r="F189" s="24"/>
      <c r="G189" s="36" t="s">
        <v>294</v>
      </c>
      <c r="H189" s="20" t="s">
        <v>295</v>
      </c>
      <c r="I189" s="38">
        <f>2*D189*D191/(SQRT(D190*D192))</f>
        <v>147.27259356576931</v>
      </c>
      <c r="K189" s="38"/>
      <c r="L189" s="24"/>
      <c r="M189" s="24"/>
      <c r="N189" s="53">
        <v>0</v>
      </c>
      <c r="O189" s="53">
        <v>0</v>
      </c>
      <c r="P189" s="37" t="s">
        <v>296</v>
      </c>
      <c r="Q189" s="54" t="s">
        <v>297</v>
      </c>
      <c r="R189" s="55" t="s">
        <v>298</v>
      </c>
      <c r="S189" s="55">
        <v>1</v>
      </c>
      <c r="T189" s="56">
        <f>IF(O185=5, N189, O189)</f>
        <v>0</v>
      </c>
      <c r="U189" s="55" t="str">
        <f>P189</f>
        <v>S  ≤  S₁</v>
      </c>
      <c r="V189" s="52"/>
      <c r="X189" s="52"/>
      <c r="Z189" s="52"/>
    </row>
    <row r="190" spans="1:26" s="47" customFormat="1" ht="15.95" hidden="1" customHeight="1" x14ac:dyDescent="0.15">
      <c r="A190" s="24"/>
      <c r="B190" s="36" t="s">
        <v>299</v>
      </c>
      <c r="C190" s="20" t="s">
        <v>4</v>
      </c>
      <c r="D190" s="176">
        <f>D42</f>
        <v>462398.66666666663</v>
      </c>
      <c r="E190" s="29" t="s">
        <v>480</v>
      </c>
      <c r="F190" s="24"/>
      <c r="G190" s="57" t="s">
        <v>300</v>
      </c>
      <c r="H190" s="38"/>
      <c r="I190" s="38"/>
      <c r="J190" s="52"/>
      <c r="K190" s="38"/>
      <c r="L190" s="24"/>
      <c r="M190" s="24"/>
      <c r="N190" s="58">
        <v>0</v>
      </c>
      <c r="O190" s="58">
        <v>0</v>
      </c>
      <c r="P190" s="37" t="s">
        <v>301</v>
      </c>
      <c r="Q190" s="59">
        <f>IF(O185=5, N190,O190)</f>
        <v>0</v>
      </c>
      <c r="R190" s="60">
        <f>IF(O185=5,N192,O192)</f>
        <v>3823</v>
      </c>
      <c r="S190" s="62">
        <v>2</v>
      </c>
      <c r="T190" s="61">
        <f>IF(O185=5, N191, O191)</f>
        <v>9.6505085589175899</v>
      </c>
      <c r="U190" s="62" t="str">
        <f>P191</f>
        <v>S₁&lt;  S  &lt; S₂</v>
      </c>
      <c r="V190" s="52"/>
      <c r="X190" s="52"/>
      <c r="Z190" s="52"/>
    </row>
    <row r="191" spans="1:26" s="47" customFormat="1" ht="15.95" hidden="1" customHeight="1" x14ac:dyDescent="0.15">
      <c r="B191" s="36" t="s">
        <v>363</v>
      </c>
      <c r="C191" s="20" t="s">
        <v>305</v>
      </c>
      <c r="D191" s="176">
        <f>D44</f>
        <v>19870.579852681814</v>
      </c>
      <c r="E191" s="29" t="s">
        <v>481</v>
      </c>
      <c r="G191" s="36" t="str">
        <f>U193</f>
        <v>S₁&lt;  S  &lt; S₂</v>
      </c>
      <c r="J191" s="24"/>
      <c r="K191" s="38"/>
      <c r="L191" s="24"/>
      <c r="M191" s="24"/>
      <c r="N191" s="58">
        <f>10.5-0.07*SQRT(I189)</f>
        <v>9.6505085589175899</v>
      </c>
      <c r="O191" s="58">
        <f>16.7-0.14*SQRT(I189)</f>
        <v>15.001017117835179</v>
      </c>
      <c r="P191" s="37" t="s">
        <v>302</v>
      </c>
      <c r="Q191" s="104" t="s">
        <v>303</v>
      </c>
      <c r="S191" s="60">
        <v>3</v>
      </c>
      <c r="T191" s="63">
        <f>IF(O185=5, N193, O193)</f>
        <v>160.24026893680735</v>
      </c>
      <c r="U191" s="60" t="str">
        <f>P193</f>
        <v>S  ≥  S₂</v>
      </c>
      <c r="V191" s="52"/>
      <c r="X191" s="52"/>
      <c r="Z191" s="52"/>
    </row>
    <row r="192" spans="1:26" s="47" customFormat="1" ht="15.95" hidden="1" customHeight="1" thickBot="1" x14ac:dyDescent="0.2">
      <c r="A192" s="24"/>
      <c r="B192" s="36" t="s">
        <v>304</v>
      </c>
      <c r="C192" s="20" t="s">
        <v>305</v>
      </c>
      <c r="D192" s="176">
        <f>D45</f>
        <v>1064553.0909090908</v>
      </c>
      <c r="E192" s="29" t="s">
        <v>480</v>
      </c>
      <c r="F192" s="38"/>
      <c r="H192" s="38"/>
      <c r="I192" s="24"/>
      <c r="J192" s="24"/>
      <c r="K192" s="24"/>
      <c r="L192" s="24"/>
      <c r="M192" s="24"/>
      <c r="N192" s="58">
        <v>3823</v>
      </c>
      <c r="O192" s="58">
        <v>2400</v>
      </c>
      <c r="P192" s="37" t="s">
        <v>306</v>
      </c>
      <c r="Q192" s="55" t="s">
        <v>307</v>
      </c>
      <c r="V192" s="52"/>
      <c r="X192" s="52"/>
      <c r="Z192" s="52"/>
    </row>
    <row r="193" spans="1:26" s="47" customFormat="1" ht="15.95" hidden="1" customHeight="1" thickBot="1" x14ac:dyDescent="0.2">
      <c r="A193" s="24"/>
      <c r="B193" s="36" t="s">
        <v>308</v>
      </c>
      <c r="C193" s="20" t="s">
        <v>305</v>
      </c>
      <c r="D193" s="24">
        <f>T193</f>
        <v>9.6505085589175899</v>
      </c>
      <c r="E193" s="29" t="s">
        <v>187</v>
      </c>
      <c r="F193" s="38"/>
      <c r="K193" s="24"/>
      <c r="L193" s="24"/>
      <c r="M193" s="24"/>
      <c r="N193" s="64">
        <f>23599/I189</f>
        <v>160.24026893680735</v>
      </c>
      <c r="O193" s="64">
        <f>23599/I189</f>
        <v>160.24026893680735</v>
      </c>
      <c r="P193" s="37" t="s">
        <v>309</v>
      </c>
      <c r="Q193" s="60">
        <f>I189</f>
        <v>147.27259356576931</v>
      </c>
      <c r="S193" s="105">
        <f>IF(Q193&lt;=Q190,1,IF(AND(Q193&gt;Q190,Q193&lt;R190),2,3))</f>
        <v>2</v>
      </c>
      <c r="T193" s="65">
        <f>VLOOKUP(S193, S189:T191, 2, FALSE)</f>
        <v>9.6505085589175899</v>
      </c>
      <c r="U193" s="66" t="str">
        <f>VLOOKUP(S193,S189:U191, 3, FALSE)</f>
        <v>S₁&lt;  S  &lt; S₂</v>
      </c>
      <c r="V193" s="52"/>
      <c r="X193" s="52"/>
      <c r="Z193" s="52"/>
    </row>
    <row r="194" spans="1:26" s="47" customFormat="1" ht="15.95" hidden="1" customHeight="1" x14ac:dyDescent="0.15">
      <c r="A194" s="24"/>
      <c r="C194" s="20" t="s">
        <v>305</v>
      </c>
      <c r="D194" s="29">
        <f>D193*6.894757</f>
        <v>66.537911440156961</v>
      </c>
      <c r="E194" s="29" t="s">
        <v>457</v>
      </c>
      <c r="F194" s="38"/>
      <c r="G194" s="38"/>
      <c r="H194" s="38"/>
      <c r="I194" s="24"/>
      <c r="J194" s="24"/>
      <c r="K194" s="24"/>
      <c r="L194" s="24"/>
      <c r="M194" s="24"/>
      <c r="V194" s="52"/>
      <c r="X194" s="52"/>
      <c r="Z194" s="52"/>
    </row>
    <row r="195" spans="1:26" s="47" customFormat="1" ht="15.95" hidden="1" customHeight="1" x14ac:dyDescent="0.15">
      <c r="A195" s="24"/>
      <c r="C195" s="20"/>
      <c r="D195" s="29"/>
      <c r="E195" s="29"/>
      <c r="F195" s="38"/>
      <c r="G195" s="38"/>
      <c r="H195" s="38"/>
      <c r="I195" s="24"/>
      <c r="J195" s="24"/>
      <c r="K195" s="24"/>
      <c r="L195" s="24"/>
      <c r="M195" s="24"/>
      <c r="V195" s="52"/>
      <c r="X195" s="52"/>
      <c r="Z195" s="52"/>
    </row>
    <row r="196" spans="1:26" s="47" customFormat="1" ht="15.95" hidden="1" customHeight="1" x14ac:dyDescent="0.15">
      <c r="A196" s="24"/>
      <c r="B196" s="49" t="s">
        <v>310</v>
      </c>
      <c r="C196" s="49"/>
      <c r="D196" s="156"/>
      <c r="E196" s="156"/>
      <c r="G196" s="50" t="s">
        <v>311</v>
      </c>
      <c r="H196" s="101"/>
      <c r="I196" s="38"/>
      <c r="J196" s="102"/>
      <c r="K196" s="24"/>
      <c r="L196" s="24"/>
      <c r="M196" s="24"/>
      <c r="N196" s="52" t="s">
        <v>312</v>
      </c>
      <c r="O196" s="360">
        <v>16</v>
      </c>
      <c r="P196" s="24"/>
      <c r="S196" s="24"/>
      <c r="V196" s="52"/>
      <c r="X196" s="52"/>
      <c r="Z196" s="52"/>
    </row>
    <row r="197" spans="1:26" s="47" customFormat="1" ht="15.95" hidden="1" customHeight="1" x14ac:dyDescent="0.15">
      <c r="A197" s="24"/>
      <c r="B197" s="49"/>
      <c r="C197" s="49"/>
      <c r="D197" s="156"/>
      <c r="E197" s="156"/>
      <c r="F197" s="49"/>
      <c r="G197" s="49"/>
      <c r="H197" s="49"/>
      <c r="I197" s="24"/>
      <c r="J197" s="49"/>
      <c r="K197" s="24"/>
      <c r="L197" s="24"/>
      <c r="M197" s="38" t="s">
        <v>313</v>
      </c>
      <c r="N197" s="103">
        <v>5</v>
      </c>
      <c r="O197" s="103">
        <v>6</v>
      </c>
      <c r="Q197" s="702" t="s">
        <v>314</v>
      </c>
      <c r="R197" s="703"/>
      <c r="S197" s="704" t="s">
        <v>354</v>
      </c>
      <c r="T197" s="705"/>
      <c r="U197" s="706"/>
      <c r="V197" s="52"/>
      <c r="X197" s="52"/>
      <c r="Z197" s="52"/>
    </row>
    <row r="198" spans="1:26" s="47" customFormat="1" ht="15.95" hidden="1" customHeight="1" x14ac:dyDescent="0.15">
      <c r="A198" s="24"/>
      <c r="B198" s="36" t="s">
        <v>315</v>
      </c>
      <c r="C198" s="20" t="s">
        <v>305</v>
      </c>
      <c r="D198" s="23">
        <f>R40</f>
        <v>56</v>
      </c>
      <c r="E198" s="29" t="s">
        <v>479</v>
      </c>
      <c r="F198" s="24"/>
      <c r="G198" s="36" t="str">
        <f>U202</f>
        <v>S₁&lt;  S  &lt; S₂</v>
      </c>
      <c r="K198" s="24"/>
      <c r="L198" s="24"/>
      <c r="M198" s="24"/>
      <c r="N198" s="53">
        <v>9.6999999999999993</v>
      </c>
      <c r="O198" s="53">
        <v>15.2</v>
      </c>
      <c r="P198" s="37" t="s">
        <v>296</v>
      </c>
      <c r="Q198" s="54" t="s">
        <v>297</v>
      </c>
      <c r="R198" s="55" t="s">
        <v>298</v>
      </c>
      <c r="S198" s="55">
        <v>1</v>
      </c>
      <c r="T198" s="56">
        <f>IF(O185=5, N198, O198)</f>
        <v>9.6999999999999993</v>
      </c>
      <c r="U198" s="55" t="str">
        <f>P198</f>
        <v>S  ≤  S₁</v>
      </c>
      <c r="V198" s="52"/>
      <c r="X198" s="52"/>
      <c r="Z198" s="52"/>
    </row>
    <row r="199" spans="1:26" s="47" customFormat="1" ht="15.95" hidden="1" customHeight="1" x14ac:dyDescent="0.15">
      <c r="A199" s="24"/>
      <c r="B199" s="36" t="s">
        <v>333</v>
      </c>
      <c r="C199" s="20" t="s">
        <v>316</v>
      </c>
      <c r="D199" s="23">
        <f>R42</f>
        <v>2</v>
      </c>
      <c r="E199" s="29" t="s">
        <v>479</v>
      </c>
      <c r="G199" s="24"/>
      <c r="H199" s="24"/>
      <c r="I199" s="24"/>
      <c r="J199" s="24"/>
      <c r="K199" s="24"/>
      <c r="L199" s="24"/>
      <c r="M199" s="24"/>
      <c r="N199" s="58">
        <v>25.6</v>
      </c>
      <c r="O199" s="58">
        <v>22.8</v>
      </c>
      <c r="P199" s="37" t="s">
        <v>334</v>
      </c>
      <c r="Q199" s="59">
        <f>IF(O185=5, N199,O199)</f>
        <v>25.6</v>
      </c>
      <c r="R199" s="60">
        <f>IF(O185=5,N201,O201)</f>
        <v>50</v>
      </c>
      <c r="S199" s="62">
        <v>2</v>
      </c>
      <c r="T199" s="61">
        <f>IF(O185=5, N200, O200)</f>
        <v>9.4760000000000009</v>
      </c>
      <c r="U199" s="62" t="str">
        <f>P200</f>
        <v>S₁&lt;  S  &lt; S₂</v>
      </c>
      <c r="V199" s="52"/>
      <c r="X199" s="52"/>
      <c r="Z199" s="52"/>
    </row>
    <row r="200" spans="1:26" s="47" customFormat="1" ht="15.95" hidden="1" customHeight="1" x14ac:dyDescent="0.15">
      <c r="A200" s="24"/>
      <c r="B200" s="36" t="s">
        <v>356</v>
      </c>
      <c r="C200" s="20" t="s">
        <v>316</v>
      </c>
      <c r="D200" s="23">
        <f>D198/D199</f>
        <v>28</v>
      </c>
      <c r="E200" s="29"/>
      <c r="F200" s="24"/>
      <c r="H200" s="24"/>
      <c r="I200" s="24"/>
      <c r="J200" s="24"/>
      <c r="K200" s="24"/>
      <c r="L200" s="24"/>
      <c r="M200" s="24"/>
      <c r="N200" s="58">
        <f>11.8-0.083*D200</f>
        <v>9.4760000000000009</v>
      </c>
      <c r="O200" s="58">
        <f>19-0.17*(D200)</f>
        <v>14.239999999999998</v>
      </c>
      <c r="P200" s="37" t="s">
        <v>317</v>
      </c>
      <c r="Q200" s="104" t="s">
        <v>318</v>
      </c>
      <c r="S200" s="60">
        <v>3</v>
      </c>
      <c r="T200" s="63">
        <f>IF(O185=5, N202, O202)</f>
        <v>13.642857142857142</v>
      </c>
      <c r="U200" s="60" t="str">
        <f>P202</f>
        <v>S  ≥  S₂</v>
      </c>
      <c r="V200" s="52"/>
      <c r="X200" s="52"/>
      <c r="Z200" s="52"/>
    </row>
    <row r="201" spans="1:26" s="47" customFormat="1" ht="15.95" hidden="1" customHeight="1" thickBot="1" x14ac:dyDescent="0.2">
      <c r="A201" s="24"/>
      <c r="B201" s="36" t="s">
        <v>319</v>
      </c>
      <c r="C201" s="20" t="s">
        <v>316</v>
      </c>
      <c r="D201" s="24">
        <f>T202</f>
        <v>9.4760000000000009</v>
      </c>
      <c r="E201" s="29" t="s">
        <v>187</v>
      </c>
      <c r="F201" s="24"/>
      <c r="G201" s="24"/>
      <c r="H201" s="24"/>
      <c r="I201" s="24"/>
      <c r="J201" s="24"/>
      <c r="K201" s="24"/>
      <c r="L201" s="24"/>
      <c r="M201" s="24"/>
      <c r="N201" s="58">
        <v>50</v>
      </c>
      <c r="O201" s="58">
        <v>39</v>
      </c>
      <c r="P201" s="37" t="s">
        <v>320</v>
      </c>
      <c r="Q201" s="55" t="s">
        <v>321</v>
      </c>
      <c r="V201" s="52"/>
      <c r="X201" s="52"/>
      <c r="Z201" s="52"/>
    </row>
    <row r="202" spans="1:26" s="47" customFormat="1" ht="15.95" hidden="1" customHeight="1" thickBot="1" x14ac:dyDescent="0.2">
      <c r="A202" s="24"/>
      <c r="B202" s="43"/>
      <c r="C202" s="20" t="s">
        <v>316</v>
      </c>
      <c r="D202" s="29">
        <f>D201*6.894757</f>
        <v>65.334717332000011</v>
      </c>
      <c r="E202" s="29" t="s">
        <v>457</v>
      </c>
      <c r="F202" s="24"/>
      <c r="G202" s="24"/>
      <c r="H202" s="24"/>
      <c r="I202" s="24"/>
      <c r="J202" s="24"/>
      <c r="K202" s="24"/>
      <c r="L202" s="24"/>
      <c r="M202" s="24"/>
      <c r="N202" s="64">
        <f>382/D200</f>
        <v>13.642857142857142</v>
      </c>
      <c r="O202" s="64">
        <f>484/D200</f>
        <v>17.285714285714285</v>
      </c>
      <c r="P202" s="37" t="s">
        <v>322</v>
      </c>
      <c r="Q202" s="60">
        <f>D200</f>
        <v>28</v>
      </c>
      <c r="S202" s="105">
        <f>IF(Q202&lt;=Q199,1,IF(AND(Q202&gt;Q199,Q202&lt;R199),2,3))</f>
        <v>2</v>
      </c>
      <c r="T202" s="65">
        <f>VLOOKUP(S202, S198:T200, 2, FALSE)</f>
        <v>9.4760000000000009</v>
      </c>
      <c r="U202" s="66" t="str">
        <f>VLOOKUP(S202,S198:U200, 3, FALSE)</f>
        <v>S₁&lt;  S  &lt; S₂</v>
      </c>
      <c r="V202" s="52"/>
      <c r="X202" s="52"/>
      <c r="Z202" s="52"/>
    </row>
    <row r="203" spans="1:26" s="47" customFormat="1" ht="15.95" hidden="1" customHeight="1" x14ac:dyDescent="0.15">
      <c r="A203" s="24"/>
      <c r="C203" s="20"/>
      <c r="D203" s="29"/>
      <c r="E203" s="29"/>
      <c r="F203" s="38"/>
      <c r="G203" s="38"/>
      <c r="H203" s="38"/>
      <c r="I203" s="24"/>
      <c r="J203" s="24"/>
      <c r="K203" s="24"/>
      <c r="L203" s="24"/>
      <c r="M203" s="24"/>
      <c r="V203" s="52"/>
      <c r="X203" s="52"/>
      <c r="Z203" s="52"/>
    </row>
    <row r="204" spans="1:26" s="47" customFormat="1" ht="15.95" hidden="1" customHeight="1" x14ac:dyDescent="0.15">
      <c r="A204" s="24"/>
      <c r="B204" s="49" t="s">
        <v>323</v>
      </c>
      <c r="C204" s="49"/>
      <c r="D204" s="156"/>
      <c r="E204" s="156"/>
      <c r="F204" s="49"/>
      <c r="G204" s="50" t="s">
        <v>324</v>
      </c>
      <c r="H204" s="101"/>
      <c r="I204" s="24"/>
      <c r="J204" s="49"/>
      <c r="K204" s="24"/>
      <c r="L204" s="24"/>
      <c r="M204" s="24"/>
      <c r="N204" s="52" t="s">
        <v>325</v>
      </c>
      <c r="O204" s="360">
        <v>18</v>
      </c>
      <c r="P204" s="24"/>
      <c r="S204" s="24"/>
      <c r="V204" s="52"/>
      <c r="X204" s="52"/>
      <c r="Z204" s="52"/>
    </row>
    <row r="205" spans="1:26" s="47" customFormat="1" ht="15.95" hidden="1" customHeight="1" x14ac:dyDescent="0.15">
      <c r="A205" s="24"/>
      <c r="B205" s="49"/>
      <c r="C205" s="49"/>
      <c r="D205" s="156"/>
      <c r="E205" s="156"/>
      <c r="F205" s="49"/>
      <c r="G205" s="49"/>
      <c r="H205" s="49"/>
      <c r="I205" s="24"/>
      <c r="J205" s="49"/>
      <c r="K205" s="24"/>
      <c r="L205" s="24"/>
      <c r="M205" s="38" t="s">
        <v>326</v>
      </c>
      <c r="N205" s="103">
        <v>5</v>
      </c>
      <c r="O205" s="103">
        <v>6</v>
      </c>
      <c r="Q205" s="702" t="s">
        <v>327</v>
      </c>
      <c r="R205" s="703"/>
      <c r="S205" s="704" t="s">
        <v>328</v>
      </c>
      <c r="T205" s="705"/>
      <c r="U205" s="706"/>
      <c r="V205" s="52"/>
      <c r="X205" s="52"/>
      <c r="Z205" s="52"/>
    </row>
    <row r="206" spans="1:26" s="47" customFormat="1" ht="15.95" hidden="1" customHeight="1" x14ac:dyDescent="0.15">
      <c r="A206" s="24"/>
      <c r="B206" s="36" t="s">
        <v>329</v>
      </c>
      <c r="C206" s="20" t="s">
        <v>316</v>
      </c>
      <c r="D206" s="23">
        <f>R41</f>
        <v>116</v>
      </c>
      <c r="E206" s="29" t="s">
        <v>479</v>
      </c>
      <c r="F206" s="24"/>
      <c r="G206" s="36" t="str">
        <f>U210</f>
        <v>S  ≤  S₁</v>
      </c>
      <c r="K206" s="24"/>
      <c r="L206" s="24"/>
      <c r="M206" s="24"/>
      <c r="N206" s="53">
        <v>12.6</v>
      </c>
      <c r="O206" s="53">
        <v>19.7</v>
      </c>
      <c r="P206" s="37" t="s">
        <v>330</v>
      </c>
      <c r="Q206" s="54" t="s">
        <v>331</v>
      </c>
      <c r="R206" s="55" t="s">
        <v>332</v>
      </c>
      <c r="S206" s="55">
        <v>1</v>
      </c>
      <c r="T206" s="56">
        <f>IF(O185=5, N206, O206)</f>
        <v>12.6</v>
      </c>
      <c r="U206" s="55" t="str">
        <f>P206</f>
        <v>S  ≤  S₁</v>
      </c>
      <c r="V206" s="52"/>
      <c r="X206" s="52"/>
      <c r="Z206" s="52"/>
    </row>
    <row r="207" spans="1:26" s="47" customFormat="1" ht="15.95" hidden="1" customHeight="1" x14ac:dyDescent="0.15">
      <c r="A207" s="24"/>
      <c r="B207" s="36" t="s">
        <v>333</v>
      </c>
      <c r="C207" s="20" t="s">
        <v>316</v>
      </c>
      <c r="D207" s="23">
        <f>R43</f>
        <v>2</v>
      </c>
      <c r="E207" s="29" t="s">
        <v>479</v>
      </c>
      <c r="F207" s="24"/>
      <c r="H207" s="24"/>
      <c r="I207" s="24"/>
      <c r="J207" s="24"/>
      <c r="K207" s="24"/>
      <c r="L207" s="24"/>
      <c r="M207" s="24"/>
      <c r="N207" s="58">
        <v>61</v>
      </c>
      <c r="O207" s="58">
        <v>54.9</v>
      </c>
      <c r="P207" s="37" t="s">
        <v>334</v>
      </c>
      <c r="Q207" s="59">
        <f>IF(O185=5, N207,O207)</f>
        <v>61</v>
      </c>
      <c r="R207" s="60">
        <f>IF(O185=5,N209,O209)</f>
        <v>115</v>
      </c>
      <c r="S207" s="62">
        <v>2</v>
      </c>
      <c r="T207" s="61">
        <f>IF(O185=5, N208, O208)</f>
        <v>12.808000000000002</v>
      </c>
      <c r="U207" s="62" t="str">
        <f>P208</f>
        <v>S₁&lt;  S  &lt; S₂</v>
      </c>
      <c r="V207" s="52"/>
      <c r="X207" s="52"/>
      <c r="Z207" s="52"/>
    </row>
    <row r="208" spans="1:26" s="47" customFormat="1" ht="15.95" hidden="1" customHeight="1" x14ac:dyDescent="0.15">
      <c r="A208" s="24"/>
      <c r="B208" s="36" t="s">
        <v>357</v>
      </c>
      <c r="C208" s="20" t="s">
        <v>316</v>
      </c>
      <c r="D208" s="23">
        <f>D206/D207</f>
        <v>58</v>
      </c>
      <c r="E208" s="29"/>
      <c r="F208" s="24"/>
      <c r="H208" s="24"/>
      <c r="I208" s="24"/>
      <c r="J208" s="24"/>
      <c r="K208" s="24"/>
      <c r="L208" s="24"/>
      <c r="M208" s="24"/>
      <c r="N208" s="58">
        <f>17.1-0.074*D208</f>
        <v>12.808000000000002</v>
      </c>
      <c r="O208" s="58">
        <f>27.9-0.15*(D208)</f>
        <v>19.2</v>
      </c>
      <c r="P208" s="37" t="s">
        <v>317</v>
      </c>
      <c r="Q208" s="104" t="s">
        <v>318</v>
      </c>
      <c r="S208" s="60">
        <v>3</v>
      </c>
      <c r="T208" s="63">
        <f>IF(O185=5, N210, O210)</f>
        <v>17</v>
      </c>
      <c r="U208" s="60" t="str">
        <f>P210</f>
        <v>S  ≥  S₂</v>
      </c>
      <c r="V208" s="52"/>
      <c r="X208" s="52"/>
      <c r="Z208" s="52"/>
    </row>
    <row r="209" spans="1:26" s="47" customFormat="1" ht="15.95" hidden="1" customHeight="1" thickBot="1" x14ac:dyDescent="0.2">
      <c r="A209" s="24"/>
      <c r="B209" s="36" t="s">
        <v>335</v>
      </c>
      <c r="C209" s="20" t="s">
        <v>316</v>
      </c>
      <c r="D209" s="24">
        <f>T210</f>
        <v>12.6</v>
      </c>
      <c r="E209" s="29" t="s">
        <v>187</v>
      </c>
      <c r="F209" s="24"/>
      <c r="G209" s="24"/>
      <c r="H209" s="24"/>
      <c r="I209" s="24"/>
      <c r="J209" s="24"/>
      <c r="K209" s="24"/>
      <c r="L209" s="24"/>
      <c r="M209" s="24"/>
      <c r="N209" s="58">
        <v>115</v>
      </c>
      <c r="O209" s="58">
        <v>93</v>
      </c>
      <c r="P209" s="37" t="s">
        <v>320</v>
      </c>
      <c r="Q209" s="55" t="s">
        <v>321</v>
      </c>
      <c r="V209" s="52"/>
      <c r="X209" s="52"/>
      <c r="Z209" s="52"/>
    </row>
    <row r="210" spans="1:26" s="47" customFormat="1" ht="15.95" hidden="1" customHeight="1" thickBot="1" x14ac:dyDescent="0.2">
      <c r="A210" s="24"/>
      <c r="B210" s="38"/>
      <c r="C210" s="20" t="s">
        <v>316</v>
      </c>
      <c r="D210" s="29">
        <f>D209*6.894757</f>
        <v>86.873938199999998</v>
      </c>
      <c r="E210" s="29" t="s">
        <v>457</v>
      </c>
      <c r="F210" s="24"/>
      <c r="G210" s="24"/>
      <c r="H210" s="24"/>
      <c r="I210" s="24"/>
      <c r="J210" s="24"/>
      <c r="K210" s="24"/>
      <c r="L210" s="24"/>
      <c r="M210" s="24"/>
      <c r="N210" s="64">
        <f>986/D208</f>
        <v>17</v>
      </c>
      <c r="O210" s="64">
        <f>1298/D208</f>
        <v>22.379310344827587</v>
      </c>
      <c r="P210" s="37" t="s">
        <v>322</v>
      </c>
      <c r="Q210" s="60">
        <f>D208</f>
        <v>58</v>
      </c>
      <c r="S210" s="105">
        <f>IF(Q210&lt;=Q207,1,IF(AND(Q210&gt;Q207,Q210&lt;=R207),2,3))</f>
        <v>1</v>
      </c>
      <c r="T210" s="65">
        <f>VLOOKUP(S210, S206:T208, 2, FALSE)</f>
        <v>12.6</v>
      </c>
      <c r="U210" s="66" t="str">
        <f>VLOOKUP(S210,S206:U208, 3, FALSE)</f>
        <v>S  ≤  S₁</v>
      </c>
      <c r="V210" s="52"/>
      <c r="X210" s="52"/>
      <c r="Z210" s="52"/>
    </row>
    <row r="211" spans="1:26" s="47" customFormat="1" ht="15.95" hidden="1" customHeight="1" x14ac:dyDescent="0.15">
      <c r="A211" s="24"/>
      <c r="B211" s="24"/>
      <c r="C211" s="24"/>
      <c r="D211" s="29"/>
      <c r="E211" s="29"/>
      <c r="F211" s="24"/>
      <c r="G211" s="24"/>
      <c r="H211" s="24"/>
      <c r="I211" s="24"/>
      <c r="J211" s="24"/>
      <c r="K211" s="24"/>
      <c r="L211" s="24"/>
      <c r="M211" s="24"/>
      <c r="N211" s="37"/>
      <c r="V211" s="52"/>
      <c r="X211" s="52"/>
      <c r="Z211" s="52"/>
    </row>
    <row r="212" spans="1:26" s="47" customFormat="1" ht="15.95" hidden="1" customHeight="1" x14ac:dyDescent="0.15">
      <c r="A212" s="24"/>
      <c r="B212" s="35" t="s">
        <v>336</v>
      </c>
      <c r="C212" s="24"/>
      <c r="D212" s="29"/>
      <c r="E212" s="19" t="s">
        <v>337</v>
      </c>
      <c r="F212" s="24" t="s">
        <v>338</v>
      </c>
      <c r="G212" s="24"/>
      <c r="H212" s="24"/>
      <c r="I212" s="24"/>
      <c r="J212" s="24"/>
      <c r="K212" s="24"/>
      <c r="L212" s="24"/>
      <c r="M212" s="24"/>
      <c r="N212" s="37"/>
      <c r="V212" s="52"/>
      <c r="X212" s="52"/>
      <c r="Z212" s="52"/>
    </row>
    <row r="213" spans="1:26" s="47" customFormat="1" ht="15.95" hidden="1" customHeight="1" x14ac:dyDescent="0.15">
      <c r="A213" s="24"/>
      <c r="B213" s="35"/>
      <c r="C213" s="24"/>
      <c r="D213" s="29"/>
      <c r="E213" s="29"/>
      <c r="F213" s="24"/>
      <c r="G213" s="24"/>
      <c r="H213" s="24"/>
      <c r="I213" s="24"/>
      <c r="J213" s="24"/>
      <c r="K213" s="24"/>
      <c r="L213" s="24"/>
      <c r="M213" s="24"/>
      <c r="N213" s="37"/>
      <c r="V213" s="52"/>
      <c r="X213" s="52"/>
      <c r="Z213" s="52"/>
    </row>
    <row r="214" spans="1:26" s="47" customFormat="1" ht="15.95" hidden="1" customHeight="1" x14ac:dyDescent="0.15">
      <c r="A214" s="24"/>
      <c r="B214" s="36" t="s">
        <v>339</v>
      </c>
      <c r="C214" s="20" t="s">
        <v>316</v>
      </c>
      <c r="D214" s="695" t="s">
        <v>1045</v>
      </c>
      <c r="E214" s="695"/>
      <c r="F214" s="24"/>
      <c r="G214" s="24"/>
      <c r="H214" s="24"/>
      <c r="I214" s="24"/>
      <c r="J214" s="24"/>
      <c r="K214" s="24"/>
      <c r="L214" s="24"/>
      <c r="M214" s="24"/>
      <c r="N214" s="24"/>
      <c r="O214" s="24"/>
      <c r="P214" s="24"/>
      <c r="V214" s="52"/>
      <c r="X214" s="52"/>
      <c r="Z214" s="52"/>
    </row>
    <row r="215" spans="1:26" s="47" customFormat="1" ht="15.95" hidden="1" customHeight="1" x14ac:dyDescent="0.15">
      <c r="A215" s="24"/>
      <c r="B215" s="38"/>
      <c r="C215" s="20" t="s">
        <v>316</v>
      </c>
      <c r="D215" s="23">
        <f>D14/D44</f>
        <v>0</v>
      </c>
      <c r="E215" s="29" t="s">
        <v>457</v>
      </c>
      <c r="F215" s="24"/>
      <c r="G215" s="24"/>
      <c r="H215" s="24"/>
      <c r="I215" s="24"/>
      <c r="J215" s="24"/>
      <c r="K215" s="24"/>
      <c r="L215" s="24"/>
      <c r="M215" s="24"/>
      <c r="N215" s="24"/>
      <c r="O215" s="24"/>
      <c r="P215" s="24"/>
      <c r="V215" s="52"/>
      <c r="X215" s="52"/>
      <c r="Z215" s="52"/>
    </row>
    <row r="216" spans="1:26" s="47" customFormat="1" ht="15.95" hidden="1" customHeight="1" x14ac:dyDescent="0.15">
      <c r="A216" s="24"/>
      <c r="B216" s="36" t="s">
        <v>340</v>
      </c>
      <c r="C216" s="20" t="s">
        <v>316</v>
      </c>
      <c r="D216" s="22" t="s">
        <v>341</v>
      </c>
      <c r="E216" s="157"/>
      <c r="F216" s="36"/>
      <c r="H216" s="24"/>
      <c r="I216" s="24"/>
      <c r="J216" s="24"/>
      <c r="K216" s="24"/>
      <c r="L216" s="24"/>
      <c r="M216" s="24"/>
      <c r="N216" s="24"/>
      <c r="O216" s="24"/>
      <c r="P216" s="24"/>
      <c r="V216" s="52"/>
      <c r="X216" s="52"/>
      <c r="Z216" s="52"/>
    </row>
    <row r="217" spans="1:26" s="47" customFormat="1" ht="15.95" hidden="1" customHeight="1" x14ac:dyDescent="0.15">
      <c r="A217" s="24"/>
      <c r="B217" s="43"/>
      <c r="C217" s="20" t="s">
        <v>316</v>
      </c>
      <c r="D217" s="67">
        <f>MIN(D194,D202,D210)</f>
        <v>65.334717332000011</v>
      </c>
      <c r="E217" s="29" t="s">
        <v>457</v>
      </c>
      <c r="F217" s="24"/>
      <c r="G217" s="38"/>
      <c r="H217" s="43"/>
      <c r="I217" s="38"/>
      <c r="J217" s="24"/>
      <c r="K217" s="24"/>
      <c r="L217" s="24"/>
      <c r="M217" s="24"/>
      <c r="N217" s="24"/>
      <c r="O217" s="24"/>
      <c r="P217" s="24"/>
      <c r="V217" s="52"/>
      <c r="X217" s="52"/>
      <c r="Z217" s="52"/>
    </row>
    <row r="218" spans="1:26" s="47" customFormat="1" ht="15.95" hidden="1" customHeight="1" x14ac:dyDescent="0.15">
      <c r="A218" s="24"/>
      <c r="C218" s="20"/>
      <c r="F218" s="24"/>
      <c r="G218" s="24"/>
      <c r="H218" s="24"/>
      <c r="I218" s="24"/>
      <c r="J218" s="24"/>
      <c r="K218" s="24"/>
      <c r="L218" s="24"/>
      <c r="M218" s="24"/>
      <c r="N218" s="24"/>
      <c r="O218" s="24"/>
      <c r="P218" s="24"/>
      <c r="V218" s="52"/>
      <c r="X218" s="52"/>
      <c r="Z218" s="52"/>
    </row>
    <row r="219" spans="1:26" ht="15.95" hidden="1" customHeight="1" x14ac:dyDescent="0.15"/>
    <row r="220" spans="1:26" ht="15.95" hidden="1" customHeight="1" x14ac:dyDescent="0.15">
      <c r="B220" s="35" t="s">
        <v>342</v>
      </c>
    </row>
    <row r="221" spans="1:26" ht="15.95" hidden="1" customHeight="1" x14ac:dyDescent="0.15"/>
    <row r="222" spans="1:26" ht="15.95" hidden="1" customHeight="1" x14ac:dyDescent="0.15">
      <c r="B222" s="36" t="s">
        <v>358</v>
      </c>
      <c r="C222" s="20" t="s">
        <v>316</v>
      </c>
      <c r="D222" s="38">
        <f>D215/D217</f>
        <v>0</v>
      </c>
      <c r="E222" s="39" t="str">
        <f>IF(D222&gt;F222,"&gt;","&lt;")</f>
        <v>&lt;</v>
      </c>
      <c r="F222" s="19">
        <v>1</v>
      </c>
      <c r="G222" s="107" t="str">
        <f>IF(D222&lt;F222,"O.K.","N.G.")</f>
        <v>O.K.</v>
      </c>
    </row>
    <row r="223" spans="1:26" ht="15.95" hidden="1" customHeight="1" x14ac:dyDescent="0.15">
      <c r="B223" s="68"/>
      <c r="D223" s="43"/>
    </row>
    <row r="224" spans="1:26" ht="15.95" hidden="1" customHeight="1" x14ac:dyDescent="0.15">
      <c r="A224" s="43"/>
      <c r="B224" s="43"/>
      <c r="C224" s="43"/>
      <c r="D224" s="43"/>
      <c r="E224" s="43"/>
      <c r="F224" s="49"/>
      <c r="G224" s="43"/>
      <c r="H224" s="43"/>
      <c r="I224" s="43"/>
      <c r="J224" s="43"/>
      <c r="K224" s="43"/>
      <c r="L224" s="43"/>
      <c r="M224" s="43"/>
      <c r="N224" s="20"/>
    </row>
    <row r="225" spans="1:14" ht="15.95" hidden="1" customHeight="1" x14ac:dyDescent="0.15">
      <c r="A225" s="43"/>
      <c r="B225" s="43"/>
      <c r="C225" s="43"/>
      <c r="D225" s="43"/>
      <c r="E225" s="43"/>
      <c r="F225" s="43"/>
      <c r="G225" s="43"/>
      <c r="H225" s="43"/>
      <c r="I225" s="43"/>
      <c r="J225" s="43"/>
      <c r="K225" s="43"/>
      <c r="L225" s="43"/>
      <c r="M225" s="43"/>
      <c r="N225" s="20"/>
    </row>
    <row r="226" spans="1:14" ht="15.95" hidden="1" customHeight="1" x14ac:dyDescent="0.15">
      <c r="A226" s="43"/>
      <c r="B226" s="43"/>
      <c r="C226" s="43"/>
      <c r="D226" s="43"/>
      <c r="E226" s="43"/>
      <c r="F226" s="43"/>
      <c r="G226" s="43"/>
      <c r="H226" s="43"/>
      <c r="I226" s="43"/>
      <c r="J226" s="43"/>
      <c r="K226" s="43"/>
      <c r="L226" s="43"/>
      <c r="M226" s="43"/>
      <c r="N226" s="20"/>
    </row>
    <row r="227" spans="1:14" ht="15.95" hidden="1" customHeight="1" x14ac:dyDescent="0.15">
      <c r="B227" s="49"/>
      <c r="D227" s="43"/>
    </row>
    <row r="228" spans="1:14" ht="15.95" hidden="1" customHeight="1" x14ac:dyDescent="0.15">
      <c r="B228" s="49"/>
      <c r="D228" s="43"/>
    </row>
    <row r="229" spans="1:14" ht="15.95" hidden="1" customHeight="1" x14ac:dyDescent="0.15">
      <c r="B229" s="49"/>
      <c r="D229" s="43"/>
    </row>
    <row r="230" spans="1:14" ht="15.95" hidden="1" customHeight="1" x14ac:dyDescent="0.15">
      <c r="B230" s="49"/>
      <c r="D230" s="43"/>
    </row>
    <row r="231" spans="1:14" ht="15.95" hidden="1" customHeight="1" x14ac:dyDescent="0.15">
      <c r="B231" s="40" t="s">
        <v>145</v>
      </c>
    </row>
    <row r="232" spans="1:14" ht="15.95" hidden="1" customHeight="1" x14ac:dyDescent="0.15"/>
    <row r="233" spans="1:14" ht="15.95" hidden="1" customHeight="1" x14ac:dyDescent="0.15">
      <c r="B233" s="35" t="s">
        <v>147</v>
      </c>
    </row>
    <row r="234" spans="1:14" ht="15.95" hidden="1" customHeight="1" x14ac:dyDescent="0.15">
      <c r="B234" s="35"/>
    </row>
    <row r="235" spans="1:14" ht="15.95" hidden="1" customHeight="1" x14ac:dyDescent="0.15">
      <c r="B235" s="78" t="s">
        <v>120</v>
      </c>
      <c r="C235" s="20" t="s">
        <v>4</v>
      </c>
      <c r="D235" s="24">
        <f>D16</f>
        <v>0</v>
      </c>
      <c r="E235" s="29" t="s">
        <v>479</v>
      </c>
    </row>
    <row r="236" spans="1:14" ht="15.95" hidden="1" customHeight="1" x14ac:dyDescent="0.15"/>
    <row r="237" spans="1:14" ht="15.95" hidden="1" customHeight="1" x14ac:dyDescent="0.15"/>
    <row r="238" spans="1:14" ht="15.95" hidden="1" customHeight="1" x14ac:dyDescent="0.15">
      <c r="B238" s="35" t="s">
        <v>146</v>
      </c>
      <c r="E238" s="42" t="s">
        <v>150</v>
      </c>
    </row>
    <row r="239" spans="1:14" ht="15.95" hidden="1" customHeight="1" x14ac:dyDescent="0.15">
      <c r="B239" s="35"/>
    </row>
    <row r="240" spans="1:14" ht="15.95" hidden="1" customHeight="1" x14ac:dyDescent="0.15">
      <c r="B240" s="78" t="s">
        <v>149</v>
      </c>
      <c r="C240" s="20" t="s">
        <v>4</v>
      </c>
      <c r="D240" s="167">
        <f>D9</f>
        <v>5000</v>
      </c>
      <c r="E240" s="24" t="str">
        <f>IF(D240&gt;4110,"mm      &gt;     4110 mm","mm     ≤     4110 mm")</f>
        <v>mm      &gt;     4110 mm</v>
      </c>
      <c r="M240" s="43" t="s">
        <v>151</v>
      </c>
      <c r="N240" s="41">
        <f>D240/240+6.35</f>
        <v>27.18333333333333</v>
      </c>
    </row>
    <row r="241" spans="1:26" ht="15.95" hidden="1" customHeight="1" x14ac:dyDescent="0.15">
      <c r="B241" s="78" t="s">
        <v>148</v>
      </c>
      <c r="C241" s="20" t="s">
        <v>4</v>
      </c>
      <c r="D241" s="177">
        <f>D240</f>
        <v>5000</v>
      </c>
      <c r="E241" s="35" t="str">
        <f>IF(D240&lt;4110,"mm      /     175","mm      /      240 + 6.35 mm ")</f>
        <v xml:space="preserve">mm      /      240 + 6.35 mm </v>
      </c>
      <c r="M241" s="43" t="s">
        <v>152</v>
      </c>
      <c r="N241" s="41">
        <f>D240/175</f>
        <v>28.571428571428573</v>
      </c>
    </row>
    <row r="242" spans="1:26" ht="15.95" hidden="1" customHeight="1" x14ac:dyDescent="0.15">
      <c r="B242" s="38"/>
      <c r="C242" s="20" t="s">
        <v>4</v>
      </c>
      <c r="D242" s="38">
        <f>IF(D240&gt;4110,N240,N241)</f>
        <v>27.18333333333333</v>
      </c>
      <c r="E242" s="24" t="s">
        <v>468</v>
      </c>
    </row>
    <row r="243" spans="1:26" ht="15.95" hidden="1" customHeight="1" x14ac:dyDescent="0.15"/>
    <row r="244" spans="1:26" ht="15.95" hidden="1" customHeight="1" x14ac:dyDescent="0.15"/>
    <row r="245" spans="1:26" ht="15.95" hidden="1" customHeight="1" x14ac:dyDescent="0.15">
      <c r="B245" s="35" t="s">
        <v>153</v>
      </c>
    </row>
    <row r="246" spans="1:26" s="20" customFormat="1" ht="15.95" hidden="1" customHeight="1" x14ac:dyDescent="0.15">
      <c r="A246" s="43"/>
      <c r="C246" s="43"/>
      <c r="D246" s="43"/>
      <c r="E246" s="43"/>
      <c r="F246" s="43"/>
      <c r="G246" s="43"/>
      <c r="H246" s="43"/>
      <c r="I246" s="43"/>
      <c r="J246" s="43"/>
      <c r="K246" s="43"/>
      <c r="L246" s="43"/>
      <c r="M246" s="43"/>
      <c r="O246" s="24"/>
      <c r="P246" s="24"/>
      <c r="Q246" s="24"/>
      <c r="R246" s="24"/>
      <c r="S246" s="24"/>
      <c r="T246" s="24"/>
      <c r="U246" s="24"/>
      <c r="V246" s="38"/>
      <c r="X246" s="38"/>
      <c r="Z246" s="38"/>
    </row>
    <row r="247" spans="1:26" s="20" customFormat="1" ht="15.95" hidden="1" customHeight="1" x14ac:dyDescent="0.15">
      <c r="A247" s="24"/>
      <c r="B247" s="36" t="s">
        <v>359</v>
      </c>
      <c r="C247" s="20" t="s">
        <v>136</v>
      </c>
      <c r="D247" s="38">
        <f>D235/(D242)</f>
        <v>0</v>
      </c>
      <c r="E247" s="39" t="str">
        <f>IF(D247&gt;F247,"&gt;","&lt;")</f>
        <v>&lt;</v>
      </c>
      <c r="F247" s="19">
        <v>1</v>
      </c>
      <c r="G247" s="107" t="str">
        <f>IF(D247&lt;F247,"O.K.","N.G.")</f>
        <v>O.K.</v>
      </c>
      <c r="I247" s="43"/>
      <c r="J247" s="43"/>
      <c r="K247" s="43"/>
      <c r="L247" s="43"/>
      <c r="M247" s="43"/>
      <c r="O247" s="24"/>
      <c r="P247" s="24"/>
      <c r="Q247" s="24"/>
      <c r="R247" s="24"/>
      <c r="S247" s="24"/>
      <c r="T247" s="24"/>
      <c r="U247" s="24"/>
      <c r="V247" s="38"/>
      <c r="X247" s="38"/>
      <c r="Z247" s="38"/>
    </row>
    <row r="248" spans="1:26" ht="15.95" hidden="1" customHeight="1" x14ac:dyDescent="0.15"/>
  </sheetData>
  <sheetProtection algorithmName="SHA-512" hashValue="iXBMk5BKLx3/kqmceQpC2eA0NKoWWevjr1faQPsjPl/hknx6sk/KFCvWT5c+uukcmQvwX8Xq3IKS3oUxn/Nfow==" saltValue="IqfnawWcHUIPSyubskXWCg==" spinCount="100000" sheet="1" objects="1" scenarios="1" selectLockedCells="1"/>
  <protectedRanges>
    <protectedRange sqref="D7:D10 D12" name="범위1_2"/>
  </protectedRanges>
  <mergeCells count="12">
    <mergeCell ref="M6:N6"/>
    <mergeCell ref="Q205:R205"/>
    <mergeCell ref="S205:U205"/>
    <mergeCell ref="D214:E214"/>
    <mergeCell ref="G22:K45"/>
    <mergeCell ref="Q188:R188"/>
    <mergeCell ref="S188:U188"/>
    <mergeCell ref="Q197:R197"/>
    <mergeCell ref="S197:U197"/>
    <mergeCell ref="N13:N14"/>
    <mergeCell ref="O13:O14"/>
    <mergeCell ref="B46:K46"/>
  </mergeCells>
  <phoneticPr fontId="2" type="noConversion"/>
  <pageMargins left="0.51181102362204722" right="0.51181102362204722" top="0.78740157480314965" bottom="0.59055118110236227" header="0.39370078740157483" footer="0.39370078740157483"/>
  <pageSetup paperSize="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9">
    <tabColor rgb="FF00B0F0"/>
  </sheetPr>
  <dimension ref="A1:AA274"/>
  <sheetViews>
    <sheetView view="pageBreakPreview" zoomScale="75" zoomScaleNormal="100" zoomScaleSheetLayoutView="75" workbookViewId="0">
      <selection activeCell="G6" sqref="G6"/>
    </sheetView>
  </sheetViews>
  <sheetFormatPr defaultRowHeight="15.95" customHeight="1" x14ac:dyDescent="0.15"/>
  <cols>
    <col min="1" max="1" width="2.77734375" style="24" customWidth="1"/>
    <col min="2" max="2" width="7.33203125" style="24" customWidth="1"/>
    <col min="3" max="3" width="5.33203125" style="24" customWidth="1"/>
    <col min="4" max="4" width="9.33203125" style="24" customWidth="1"/>
    <col min="5" max="5" width="5.33203125" style="24" customWidth="1"/>
    <col min="6" max="6" width="9.33203125" style="24" customWidth="1"/>
    <col min="7" max="8" width="7.33203125" style="24" customWidth="1"/>
    <col min="9" max="9" width="5.33203125" style="24" customWidth="1"/>
    <col min="10" max="10" width="9.33203125" style="24" customWidth="1"/>
    <col min="11" max="11" width="7.33203125" style="24" customWidth="1"/>
    <col min="12" max="12" width="2.77734375" style="24" customWidth="1"/>
    <col min="13" max="14" width="6.77734375" style="24" customWidth="1"/>
    <col min="15" max="15" width="8.77734375" style="24" customWidth="1"/>
    <col min="16" max="16" width="9.77734375" style="24" customWidth="1"/>
    <col min="17" max="17" width="6.77734375" style="24" customWidth="1"/>
    <col min="18" max="18" width="8.77734375" style="24" customWidth="1"/>
    <col min="19" max="20" width="6.77734375" style="24" customWidth="1"/>
    <col min="21" max="21" width="9.77734375" style="24" hidden="1" customWidth="1"/>
    <col min="22" max="22" width="0" style="38" hidden="1" customWidth="1"/>
    <col min="23" max="23" width="5.77734375" style="24" hidden="1" customWidth="1"/>
    <col min="24" max="24" width="5.77734375" style="38" hidden="1" customWidth="1"/>
    <col min="25" max="25" width="5.77734375" style="24" hidden="1" customWidth="1"/>
    <col min="26" max="26" width="5.77734375" style="38" hidden="1" customWidth="1"/>
    <col min="27" max="27" width="11.109375" style="24" hidden="1" customWidth="1"/>
    <col min="28" max="16384" width="8.88671875" style="24"/>
  </cols>
  <sheetData>
    <row r="1" spans="1:17" ht="15.95" customHeight="1" x14ac:dyDescent="0.15">
      <c r="A1" s="76" t="s">
        <v>188</v>
      </c>
    </row>
    <row r="3" spans="1:17" ht="15.95" customHeight="1" x14ac:dyDescent="0.15">
      <c r="B3" s="77" t="s">
        <v>58</v>
      </c>
    </row>
    <row r="5" spans="1:17" ht="15.95" customHeight="1" x14ac:dyDescent="0.15">
      <c r="B5" s="78" t="s">
        <v>59</v>
      </c>
      <c r="C5" s="20" t="s">
        <v>36</v>
      </c>
      <c r="D5" s="42">
        <f>(SUMPRODUCT((N8:N10=N7)*(O7:P7=M7),O8:P10))</f>
        <v>0</v>
      </c>
      <c r="E5" s="43" t="s">
        <v>456</v>
      </c>
      <c r="H5" s="36" t="s">
        <v>69</v>
      </c>
      <c r="J5" s="49"/>
      <c r="M5" s="38"/>
      <c r="P5" s="12"/>
      <c r="Q5" s="12"/>
    </row>
    <row r="6" spans="1:17" ht="15.95" customHeight="1" x14ac:dyDescent="0.15">
      <c r="B6" s="78" t="s">
        <v>190</v>
      </c>
      <c r="C6" s="20" t="s">
        <v>36</v>
      </c>
      <c r="D6" s="172">
        <f>710100/100*9.80665</f>
        <v>69637.021649999995</v>
      </c>
      <c r="E6" s="43" t="s">
        <v>457</v>
      </c>
      <c r="F6" s="80" t="s">
        <v>191</v>
      </c>
      <c r="G6" s="561">
        <v>5</v>
      </c>
      <c r="H6" s="36" t="s">
        <v>203</v>
      </c>
      <c r="J6" s="43"/>
      <c r="M6" s="694" t="s">
        <v>543</v>
      </c>
      <c r="N6" s="694"/>
      <c r="O6" s="188"/>
      <c r="P6" s="189"/>
      <c r="Q6" s="26"/>
    </row>
    <row r="7" spans="1:17" ht="15.95" customHeight="1" x14ac:dyDescent="0.15">
      <c r="B7" s="78" t="s">
        <v>60</v>
      </c>
      <c r="C7" s="20" t="s">
        <v>36</v>
      </c>
      <c r="D7" s="560">
        <v>1200</v>
      </c>
      <c r="E7" s="43" t="s">
        <v>458</v>
      </c>
      <c r="H7" s="36" t="s">
        <v>70</v>
      </c>
      <c r="M7" s="562" t="s">
        <v>541</v>
      </c>
      <c r="N7" s="563">
        <v>1</v>
      </c>
      <c r="O7" s="185" t="s">
        <v>541</v>
      </c>
      <c r="P7" s="185" t="s">
        <v>542</v>
      </c>
    </row>
    <row r="8" spans="1:17" ht="15.95" customHeight="1" x14ac:dyDescent="0.15">
      <c r="B8" s="78" t="s">
        <v>61</v>
      </c>
      <c r="C8" s="20" t="s">
        <v>36</v>
      </c>
      <c r="D8" s="560">
        <v>1500</v>
      </c>
      <c r="E8" s="43" t="s">
        <v>458</v>
      </c>
      <c r="H8" s="36" t="s">
        <v>71</v>
      </c>
      <c r="M8" s="190" t="s">
        <v>453</v>
      </c>
      <c r="N8" s="186">
        <v>1</v>
      </c>
      <c r="O8" s="187" t="str">
        <f>풍하중!$T$8</f>
        <v>-</v>
      </c>
      <c r="P8" s="187">
        <f>풍하중!$U$8</f>
        <v>1.52</v>
      </c>
    </row>
    <row r="9" spans="1:17" ht="15.95" customHeight="1" x14ac:dyDescent="0.15">
      <c r="B9" s="80" t="s">
        <v>62</v>
      </c>
      <c r="C9" s="20" t="s">
        <v>36</v>
      </c>
      <c r="D9" s="560">
        <v>5000</v>
      </c>
      <c r="E9" s="43" t="s">
        <v>458</v>
      </c>
      <c r="H9" s="36" t="s">
        <v>395</v>
      </c>
      <c r="J9" s="43"/>
      <c r="M9" s="190" t="s">
        <v>454</v>
      </c>
      <c r="N9" s="186">
        <v>2</v>
      </c>
      <c r="O9" s="187" t="str">
        <f>풍하중!$T$9</f>
        <v>-</v>
      </c>
      <c r="P9" s="187">
        <f>풍하중!$U$9</f>
        <v>-1.1619999999999999</v>
      </c>
    </row>
    <row r="10" spans="1:17" ht="15.95" customHeight="1" x14ac:dyDescent="0.15">
      <c r="B10" s="80" t="s">
        <v>63</v>
      </c>
      <c r="C10" s="20" t="s">
        <v>36</v>
      </c>
      <c r="D10" s="560">
        <v>250</v>
      </c>
      <c r="E10" s="43" t="s">
        <v>458</v>
      </c>
      <c r="H10" s="36" t="s">
        <v>396</v>
      </c>
      <c r="J10" s="43"/>
      <c r="M10" s="190" t="s">
        <v>455</v>
      </c>
      <c r="N10" s="186">
        <v>3</v>
      </c>
      <c r="O10" s="187" t="str">
        <f>풍하중!$T$10</f>
        <v>-</v>
      </c>
      <c r="P10" s="187">
        <f>풍하중!$U$10</f>
        <v>-1.39</v>
      </c>
    </row>
    <row r="11" spans="1:17" ht="15.95" customHeight="1" x14ac:dyDescent="0.15">
      <c r="B11" s="80" t="s">
        <v>64</v>
      </c>
      <c r="C11" s="20" t="s">
        <v>36</v>
      </c>
      <c r="D11" s="176">
        <f>D9-D10</f>
        <v>4750</v>
      </c>
      <c r="E11" s="43" t="s">
        <v>458</v>
      </c>
      <c r="H11" s="36" t="s">
        <v>397</v>
      </c>
    </row>
    <row r="12" spans="1:17" ht="15.95" customHeight="1" x14ac:dyDescent="0.15">
      <c r="B12" s="80" t="s">
        <v>394</v>
      </c>
      <c r="C12" s="20" t="s">
        <v>36</v>
      </c>
      <c r="D12" s="560">
        <v>2600</v>
      </c>
      <c r="E12" s="43" t="s">
        <v>458</v>
      </c>
      <c r="H12" s="36" t="s">
        <v>72</v>
      </c>
    </row>
    <row r="13" spans="1:17" ht="15.95" customHeight="1" x14ac:dyDescent="0.15">
      <c r="M13" s="165"/>
      <c r="N13" s="698"/>
      <c r="O13" s="698"/>
    </row>
    <row r="14" spans="1:17" ht="15.95" customHeight="1" x14ac:dyDescent="0.15">
      <c r="B14" s="36" t="s">
        <v>65</v>
      </c>
      <c r="C14" s="20" t="s">
        <v>36</v>
      </c>
      <c r="D14" s="172">
        <f>(J85-J177)</f>
        <v>0</v>
      </c>
      <c r="E14" s="43" t="s">
        <v>514</v>
      </c>
      <c r="F14" s="36"/>
      <c r="G14" s="80" t="s">
        <v>488</v>
      </c>
      <c r="H14" s="162" t="s">
        <v>66</v>
      </c>
      <c r="I14" s="20" t="s">
        <v>36</v>
      </c>
      <c r="J14" s="108">
        <f>D222</f>
        <v>0</v>
      </c>
      <c r="K14" s="83" t="str">
        <f>IF(J14&lt;1,"O.K","N.G")</f>
        <v>O.K</v>
      </c>
      <c r="M14" s="165"/>
      <c r="N14" s="698"/>
      <c r="O14" s="698"/>
    </row>
    <row r="15" spans="1:17" ht="15.95" customHeight="1" x14ac:dyDescent="0.15">
      <c r="G15" s="80" t="s">
        <v>489</v>
      </c>
      <c r="H15" s="162" t="s">
        <v>66</v>
      </c>
      <c r="I15" s="20" t="s">
        <v>36</v>
      </c>
      <c r="J15" s="108">
        <f>D255</f>
        <v>0</v>
      </c>
      <c r="K15" s="83" t="str">
        <f>IF(J15&lt;1,"O.K","N.G")</f>
        <v>O.K</v>
      </c>
      <c r="O15" s="12"/>
      <c r="P15" s="172"/>
      <c r="Q15" s="43"/>
    </row>
    <row r="16" spans="1:17" ht="15.95" customHeight="1" x14ac:dyDescent="0.15">
      <c r="B16" s="36" t="s">
        <v>483</v>
      </c>
      <c r="C16" s="20" t="s">
        <v>36</v>
      </c>
      <c r="D16" s="79">
        <f>D91-D183+(D88+D180)/2</f>
        <v>0</v>
      </c>
      <c r="E16" s="43" t="s">
        <v>458</v>
      </c>
      <c r="F16" s="36"/>
      <c r="O16" s="12"/>
      <c r="P16" s="334"/>
      <c r="Q16" s="12"/>
    </row>
    <row r="17" spans="2:26" ht="15.95" customHeight="1" x14ac:dyDescent="0.15">
      <c r="B17" s="36" t="s">
        <v>484</v>
      </c>
      <c r="C17" s="20" t="s">
        <v>36</v>
      </c>
      <c r="D17" s="79">
        <f>D269</f>
        <v>27.18333333333333</v>
      </c>
      <c r="E17" s="43" t="s">
        <v>458</v>
      </c>
      <c r="H17" s="80" t="s">
        <v>68</v>
      </c>
      <c r="I17" s="20" t="s">
        <v>36</v>
      </c>
      <c r="J17" s="108">
        <f>D274</f>
        <v>0</v>
      </c>
      <c r="K17" s="83" t="str">
        <f>IF(J17&lt;1,"O.K","N.G")</f>
        <v>O.K</v>
      </c>
      <c r="O17" s="12"/>
      <c r="P17" s="332"/>
      <c r="Q17" s="43"/>
    </row>
    <row r="18" spans="2:26" ht="15.95" customHeight="1" x14ac:dyDescent="0.15">
      <c r="O18" s="12"/>
      <c r="P18" s="334"/>
      <c r="Q18" s="12"/>
    </row>
    <row r="19" spans="2:26" ht="15.95" customHeight="1" x14ac:dyDescent="0.15">
      <c r="B19" s="77" t="s">
        <v>78</v>
      </c>
      <c r="E19" s="49"/>
      <c r="H19" s="77" t="s">
        <v>485</v>
      </c>
      <c r="J19" s="559">
        <v>1</v>
      </c>
      <c r="Q19" s="20"/>
    </row>
    <row r="20" spans="2:26" ht="15.95" customHeight="1" thickBot="1" x14ac:dyDescent="0.2">
      <c r="K20" s="81"/>
      <c r="L20" s="81"/>
      <c r="M20" s="81"/>
    </row>
    <row r="21" spans="2:26" ht="15.95" customHeight="1" thickBot="1" x14ac:dyDescent="0.2">
      <c r="B21" s="138"/>
      <c r="C21" s="139"/>
      <c r="D21" s="139"/>
      <c r="E21" s="139"/>
      <c r="F21" s="139"/>
      <c r="G21" s="139"/>
      <c r="H21" s="139"/>
      <c r="I21" s="139"/>
      <c r="J21" s="139"/>
      <c r="K21" s="140"/>
      <c r="N21" s="138" t="s">
        <v>287</v>
      </c>
      <c r="O21" s="139"/>
      <c r="P21" s="139"/>
      <c r="Q21" s="138" t="s">
        <v>288</v>
      </c>
      <c r="R21" s="139"/>
      <c r="S21" s="140"/>
      <c r="U21" s="38"/>
      <c r="V21" s="24"/>
      <c r="W21" s="38"/>
      <c r="X21" s="24"/>
      <c r="Y21" s="38"/>
      <c r="Z21" s="24"/>
    </row>
    <row r="22" spans="2:26" ht="15.95" customHeight="1" x14ac:dyDescent="0.15">
      <c r="B22" s="91"/>
      <c r="K22" s="110"/>
      <c r="N22" s="84" t="s">
        <v>46</v>
      </c>
      <c r="O22" s="564">
        <v>60</v>
      </c>
      <c r="P22" s="154" t="s">
        <v>468</v>
      </c>
      <c r="Q22" s="84" t="s">
        <v>46</v>
      </c>
      <c r="R22" s="564">
        <v>60</v>
      </c>
      <c r="S22" s="85" t="s">
        <v>468</v>
      </c>
      <c r="U22" s="80" t="s">
        <v>155</v>
      </c>
      <c r="V22" s="24">
        <f>V36*X36</f>
        <v>60</v>
      </c>
      <c r="W22" s="80" t="s">
        <v>156</v>
      </c>
      <c r="X22" s="24">
        <f>X36/2</f>
        <v>15</v>
      </c>
      <c r="Y22" s="80" t="s">
        <v>157</v>
      </c>
      <c r="Z22" s="24">
        <f>V35+X34/2</f>
        <v>30</v>
      </c>
    </row>
    <row r="23" spans="2:26" ht="15.95" customHeight="1" x14ac:dyDescent="0.15">
      <c r="B23" s="91"/>
      <c r="K23" s="110"/>
      <c r="N23" s="71" t="s">
        <v>199</v>
      </c>
      <c r="O23" s="565">
        <v>120</v>
      </c>
      <c r="P23" s="43" t="s">
        <v>468</v>
      </c>
      <c r="Q23" s="71" t="s">
        <v>199</v>
      </c>
      <c r="R23" s="565">
        <v>120</v>
      </c>
      <c r="S23" s="86" t="s">
        <v>468</v>
      </c>
      <c r="U23" s="80" t="s">
        <v>158</v>
      </c>
      <c r="V23" s="24">
        <f>X34*V34</f>
        <v>112</v>
      </c>
      <c r="W23" s="80" t="s">
        <v>159</v>
      </c>
      <c r="X23" s="24">
        <f>X36+V34/2</f>
        <v>31</v>
      </c>
      <c r="Y23" s="80" t="s">
        <v>160</v>
      </c>
      <c r="Z23" s="24">
        <f>V35+X34/2</f>
        <v>30</v>
      </c>
    </row>
    <row r="24" spans="2:26" ht="15.95" customHeight="1" x14ac:dyDescent="0.15">
      <c r="B24" s="91"/>
      <c r="K24" s="110"/>
      <c r="N24" s="71" t="s">
        <v>204</v>
      </c>
      <c r="O24" s="565">
        <v>30</v>
      </c>
      <c r="P24" s="43" t="s">
        <v>468</v>
      </c>
      <c r="Q24" s="91"/>
      <c r="R24" s="566"/>
      <c r="S24" s="110"/>
      <c r="U24" s="80" t="s">
        <v>161</v>
      </c>
      <c r="V24" s="24">
        <f>X34*V34</f>
        <v>112</v>
      </c>
      <c r="W24" s="80" t="s">
        <v>162</v>
      </c>
      <c r="X24" s="24">
        <f>X36+(X35-V34)+V34/2</f>
        <v>149</v>
      </c>
      <c r="Y24" s="80" t="s">
        <v>163</v>
      </c>
      <c r="Z24" s="24">
        <f>V35+X34/2</f>
        <v>30</v>
      </c>
    </row>
    <row r="25" spans="2:26" ht="15.95" customHeight="1" x14ac:dyDescent="0.15">
      <c r="B25" s="91"/>
      <c r="K25" s="110"/>
      <c r="N25" s="71" t="s">
        <v>74</v>
      </c>
      <c r="O25" s="565">
        <v>2</v>
      </c>
      <c r="P25" s="43" t="s">
        <v>468</v>
      </c>
      <c r="Q25" s="71" t="s">
        <v>74</v>
      </c>
      <c r="R25" s="565">
        <v>2</v>
      </c>
      <c r="S25" s="86" t="s">
        <v>468</v>
      </c>
      <c r="U25" s="80" t="s">
        <v>164</v>
      </c>
      <c r="V25" s="24">
        <f>X35*V35</f>
        <v>240</v>
      </c>
      <c r="W25" s="80" t="s">
        <v>165</v>
      </c>
      <c r="X25" s="24">
        <f>X36+X35/2</f>
        <v>90</v>
      </c>
      <c r="Y25" s="80" t="s">
        <v>166</v>
      </c>
      <c r="Z25" s="24">
        <f>V35/2</f>
        <v>1</v>
      </c>
    </row>
    <row r="26" spans="2:26" ht="15.95" customHeight="1" x14ac:dyDescent="0.15">
      <c r="B26" s="91"/>
      <c r="K26" s="110"/>
      <c r="N26" s="71" t="s">
        <v>466</v>
      </c>
      <c r="O26" s="565">
        <v>2</v>
      </c>
      <c r="P26" s="43" t="s">
        <v>468</v>
      </c>
      <c r="Q26" s="71" t="s">
        <v>75</v>
      </c>
      <c r="R26" s="567">
        <v>2</v>
      </c>
      <c r="S26" s="86" t="s">
        <v>468</v>
      </c>
      <c r="U26" s="80" t="s">
        <v>167</v>
      </c>
      <c r="V26" s="24">
        <f>X35*V35</f>
        <v>240</v>
      </c>
      <c r="W26" s="80" t="s">
        <v>168</v>
      </c>
      <c r="X26" s="24">
        <f>X36+X35/2</f>
        <v>90</v>
      </c>
      <c r="Y26" s="80" t="s">
        <v>169</v>
      </c>
      <c r="Z26" s="24">
        <f>V35+X34+V35/2</f>
        <v>59</v>
      </c>
    </row>
    <row r="27" spans="2:26" ht="15.95" customHeight="1" thickBot="1" x14ac:dyDescent="0.2">
      <c r="B27" s="91"/>
      <c r="K27" s="110"/>
      <c r="N27" s="71" t="s">
        <v>192</v>
      </c>
      <c r="O27" s="565">
        <v>2</v>
      </c>
      <c r="P27" s="43" t="s">
        <v>468</v>
      </c>
      <c r="Q27" s="91"/>
      <c r="R27" s="566"/>
      <c r="S27" s="110"/>
      <c r="U27" s="80"/>
      <c r="V27" s="24"/>
      <c r="W27" s="80"/>
      <c r="X27" s="24"/>
      <c r="Y27" s="80"/>
      <c r="Z27" s="24"/>
    </row>
    <row r="28" spans="2:26" ht="15.95" customHeight="1" x14ac:dyDescent="0.15">
      <c r="B28" s="91"/>
      <c r="K28" s="110"/>
      <c r="N28" s="84" t="s">
        <v>196</v>
      </c>
      <c r="O28" s="151">
        <f>O23+O24</f>
        <v>150</v>
      </c>
      <c r="P28" s="85" t="s">
        <v>458</v>
      </c>
      <c r="Q28" s="91"/>
      <c r="R28" s="566"/>
      <c r="S28" s="110"/>
      <c r="U28" s="80" t="s">
        <v>170</v>
      </c>
      <c r="V28" s="24">
        <f>X22-Z30</f>
        <v>-69.109947643979055</v>
      </c>
      <c r="W28" s="80" t="s">
        <v>171</v>
      </c>
      <c r="X28" s="24">
        <f>Z22-Z31</f>
        <v>0</v>
      </c>
      <c r="Y28" s="80" t="s">
        <v>172</v>
      </c>
      <c r="Z28" s="24">
        <f>V22*X22+V23*X23+V24*X24+V25*X25+V26*X26</f>
        <v>64260</v>
      </c>
    </row>
    <row r="29" spans="2:26" ht="15.95" customHeight="1" x14ac:dyDescent="0.15">
      <c r="B29" s="91"/>
      <c r="K29" s="110"/>
      <c r="N29" s="71" t="s">
        <v>77</v>
      </c>
      <c r="O29" s="23">
        <f>O22-2*O26</f>
        <v>56</v>
      </c>
      <c r="P29" s="43" t="s">
        <v>458</v>
      </c>
      <c r="Q29" s="91"/>
      <c r="R29" s="566"/>
      <c r="S29" s="110"/>
      <c r="U29" s="80" t="s">
        <v>174</v>
      </c>
      <c r="V29" s="24">
        <f>X23-Z30</f>
        <v>-53.109947643979055</v>
      </c>
      <c r="W29" s="80" t="s">
        <v>175</v>
      </c>
      <c r="X29" s="24">
        <f>Z23-Z31</f>
        <v>0</v>
      </c>
      <c r="Y29" s="80" t="s">
        <v>176</v>
      </c>
      <c r="Z29" s="24">
        <f>V22*Z22+V23*Z23+V24*Z24+V25*Z25+V26*Z26</f>
        <v>22920</v>
      </c>
    </row>
    <row r="30" spans="2:26" ht="15.95" customHeight="1" x14ac:dyDescent="0.15">
      <c r="B30" s="91"/>
      <c r="K30" s="110"/>
      <c r="N30" s="71" t="s">
        <v>193</v>
      </c>
      <c r="O30" s="23">
        <f>Z32</f>
        <v>1671313.4310645724</v>
      </c>
      <c r="P30" s="43" t="s">
        <v>469</v>
      </c>
      <c r="Q30" s="71" t="s">
        <v>193</v>
      </c>
      <c r="R30" s="565">
        <v>3779510</v>
      </c>
      <c r="S30" s="86" t="s">
        <v>469</v>
      </c>
      <c r="U30" s="80" t="s">
        <v>177</v>
      </c>
      <c r="V30" s="24">
        <f>X24-Z30</f>
        <v>64.890052356020945</v>
      </c>
      <c r="W30" s="80" t="s">
        <v>178</v>
      </c>
      <c r="X30" s="24">
        <f>Z24-Z31</f>
        <v>0</v>
      </c>
      <c r="Y30" s="80" t="s">
        <v>179</v>
      </c>
      <c r="Z30" s="24">
        <f>Z28/(V22+V23+V24+V25+V26)</f>
        <v>84.109947643979055</v>
      </c>
    </row>
    <row r="31" spans="2:26" ht="15.95" customHeight="1" x14ac:dyDescent="0.15">
      <c r="B31" s="91"/>
      <c r="K31" s="110"/>
      <c r="N31" s="71" t="s">
        <v>194</v>
      </c>
      <c r="O31" s="23">
        <f>Z33</f>
        <v>462398.66666666663</v>
      </c>
      <c r="P31" s="43" t="s">
        <v>469</v>
      </c>
      <c r="Q31" s="71" t="s">
        <v>194</v>
      </c>
      <c r="R31" s="565">
        <v>652452</v>
      </c>
      <c r="S31" s="86" t="s">
        <v>472</v>
      </c>
      <c r="U31" s="80" t="s">
        <v>180</v>
      </c>
      <c r="V31" s="24">
        <f>X25-Z30</f>
        <v>5.890052356020945</v>
      </c>
      <c r="W31" s="80" t="s">
        <v>181</v>
      </c>
      <c r="X31" s="24">
        <f>Z25-Z31</f>
        <v>-29</v>
      </c>
      <c r="Y31" s="80" t="s">
        <v>182</v>
      </c>
      <c r="Z31" s="24">
        <f>Z29/(V22+V23+V24+V25+V26)</f>
        <v>30</v>
      </c>
    </row>
    <row r="32" spans="2:26" ht="15.95" customHeight="1" x14ac:dyDescent="0.15">
      <c r="B32" s="91"/>
      <c r="K32" s="110"/>
      <c r="N32" s="71" t="s">
        <v>890</v>
      </c>
      <c r="O32" s="23">
        <f>Z31</f>
        <v>30</v>
      </c>
      <c r="P32" s="43" t="s">
        <v>458</v>
      </c>
      <c r="Q32" s="71" t="s">
        <v>890</v>
      </c>
      <c r="R32" s="565">
        <v>30</v>
      </c>
      <c r="S32" s="86" t="s">
        <v>468</v>
      </c>
      <c r="U32" s="80" t="s">
        <v>183</v>
      </c>
      <c r="V32" s="24">
        <f>X26-Z30</f>
        <v>5.890052356020945</v>
      </c>
      <c r="W32" s="80" t="s">
        <v>184</v>
      </c>
      <c r="X32" s="24">
        <f>Z26-Z31</f>
        <v>29</v>
      </c>
      <c r="Y32" s="80" t="s">
        <v>185</v>
      </c>
      <c r="Z32" s="24">
        <f>((V36*X36*X36*X36)/12+V22*V28*V28)+((X34*V34*V34*V34)/12+V23*V29*V29)+((X34*V34*V34*V34)/12+V24*V30*V30)+((V35*X35*X35*X35)/12+V25*V31*V31)+((V35*X35*X35*X35)/12+V26*V32*V32)</f>
        <v>1671313.4310645724</v>
      </c>
    </row>
    <row r="33" spans="2:26" ht="15.95" customHeight="1" x14ac:dyDescent="0.15">
      <c r="B33" s="71" t="s">
        <v>196</v>
      </c>
      <c r="C33" s="20" t="s">
        <v>36</v>
      </c>
      <c r="D33" s="155">
        <f>IF($J$19=1, O28,Q19)</f>
        <v>150</v>
      </c>
      <c r="E33" s="43" t="s">
        <v>468</v>
      </c>
      <c r="F33" s="568">
        <v>100</v>
      </c>
      <c r="G33" s="364" t="s">
        <v>468</v>
      </c>
      <c r="K33" s="110"/>
      <c r="N33" s="71" t="s">
        <v>891</v>
      </c>
      <c r="O33" s="23">
        <f>Z30</f>
        <v>84.109947643979055</v>
      </c>
      <c r="P33" s="43" t="s">
        <v>458</v>
      </c>
      <c r="Q33" s="71" t="s">
        <v>891</v>
      </c>
      <c r="R33" s="565">
        <v>95.14</v>
      </c>
      <c r="S33" s="86" t="s">
        <v>468</v>
      </c>
      <c r="U33" s="38"/>
      <c r="V33" s="24"/>
      <c r="W33" s="38"/>
      <c r="X33" s="24"/>
      <c r="Y33" s="80" t="s">
        <v>186</v>
      </c>
      <c r="Z33" s="24">
        <f>((X36*V36*V36*V36)/12+V22*X28*X28)+((V34*X34*X34*X34)/12+V23*X29*X29)+((V34*X34*X34*X34)/12+V24*X30*X30)+((X35*V35*V35*V35)/12+V25*X31*X31)+((X35*V35*V35*V35)/12+V26*X32*X32)</f>
        <v>462398.66666666663</v>
      </c>
    </row>
    <row r="34" spans="2:26" ht="15.95" customHeight="1" x14ac:dyDescent="0.15">
      <c r="B34" s="71" t="s">
        <v>46</v>
      </c>
      <c r="C34" s="20" t="s">
        <v>36</v>
      </c>
      <c r="D34" s="155">
        <f>IF($J$19=1, O22,Q19)</f>
        <v>60</v>
      </c>
      <c r="E34" s="43" t="s">
        <v>468</v>
      </c>
      <c r="F34" s="568">
        <v>50</v>
      </c>
      <c r="G34" s="364" t="s">
        <v>468</v>
      </c>
      <c r="K34" s="110"/>
      <c r="N34" s="71" t="s">
        <v>195</v>
      </c>
      <c r="O34" s="23">
        <f>O30/O33</f>
        <v>19870.579852681814</v>
      </c>
      <c r="P34" s="43" t="s">
        <v>470</v>
      </c>
      <c r="Q34" s="71" t="s">
        <v>195</v>
      </c>
      <c r="R34" s="565">
        <f>R30/R33</f>
        <v>39725.772545722095</v>
      </c>
      <c r="S34" s="86" t="s">
        <v>473</v>
      </c>
      <c r="U34" s="80" t="s">
        <v>462</v>
      </c>
      <c r="V34" s="24">
        <f>O25</f>
        <v>2</v>
      </c>
      <c r="W34" s="80" t="s">
        <v>465</v>
      </c>
      <c r="X34" s="24">
        <f>O29</f>
        <v>56</v>
      </c>
      <c r="Y34" s="38"/>
      <c r="Z34" s="24"/>
    </row>
    <row r="35" spans="2:26" ht="15.95" customHeight="1" thickBot="1" x14ac:dyDescent="0.2">
      <c r="B35" s="71" t="s">
        <v>199</v>
      </c>
      <c r="C35" s="20" t="s">
        <v>36</v>
      </c>
      <c r="D35" s="155">
        <f>IF($J$19=1, O23,Q19)</f>
        <v>120</v>
      </c>
      <c r="E35" s="43" t="s">
        <v>468</v>
      </c>
      <c r="F35" s="160" t="s">
        <v>51</v>
      </c>
      <c r="G35" s="364" t="s">
        <v>468</v>
      </c>
      <c r="K35" s="110"/>
      <c r="N35" s="87" t="s">
        <v>349</v>
      </c>
      <c r="O35" s="152">
        <f>(2*O26*O25*(O22-O26)^2*(O23-O25)^2)/((O22*O26)+(O23*O25)-O26^2-O25^2)</f>
        <v>1064553.0909090908</v>
      </c>
      <c r="P35" s="153" t="s">
        <v>470</v>
      </c>
      <c r="Q35" s="87" t="s">
        <v>304</v>
      </c>
      <c r="R35" s="152">
        <f>(2*R26*R25*(R22-R26)^2*(R23-R25)^2)/((R22*R26)+(R23*R25)-R26^2-R25^2)</f>
        <v>1064553.0909090908</v>
      </c>
      <c r="S35" s="88" t="s">
        <v>471</v>
      </c>
      <c r="U35" s="80" t="s">
        <v>461</v>
      </c>
      <c r="V35" s="24">
        <f>O26</f>
        <v>2</v>
      </c>
      <c r="W35" s="80" t="s">
        <v>463</v>
      </c>
      <c r="X35" s="24">
        <f>O23</f>
        <v>120</v>
      </c>
      <c r="Y35" s="38"/>
      <c r="Z35" s="24"/>
    </row>
    <row r="36" spans="2:26" ht="15.95" customHeight="1" x14ac:dyDescent="0.15">
      <c r="B36" s="71" t="s">
        <v>519</v>
      </c>
      <c r="C36" s="20" t="s">
        <v>36</v>
      </c>
      <c r="D36" s="155">
        <f>IF($J$19=1, O24,Q19)</f>
        <v>30</v>
      </c>
      <c r="E36" s="43" t="s">
        <v>468</v>
      </c>
      <c r="F36" s="160" t="s">
        <v>51</v>
      </c>
      <c r="G36" s="364" t="s">
        <v>468</v>
      </c>
      <c r="H36" s="50"/>
      <c r="K36" s="110"/>
      <c r="U36" s="80" t="s">
        <v>467</v>
      </c>
      <c r="V36" s="24">
        <f>O27</f>
        <v>2</v>
      </c>
      <c r="W36" s="80" t="s">
        <v>464</v>
      </c>
      <c r="X36" s="24">
        <f>O24</f>
        <v>30</v>
      </c>
      <c r="Y36" s="38"/>
      <c r="Z36" s="24"/>
    </row>
    <row r="37" spans="2:26" ht="15.95" customHeight="1" x14ac:dyDescent="0.15">
      <c r="B37" s="71" t="s">
        <v>74</v>
      </c>
      <c r="C37" s="20" t="s">
        <v>4</v>
      </c>
      <c r="D37" s="155">
        <f>IF($J$19=1, O25,Q19)</f>
        <v>2</v>
      </c>
      <c r="E37" s="43" t="s">
        <v>468</v>
      </c>
      <c r="F37" s="568">
        <v>2</v>
      </c>
      <c r="G37" s="364" t="s">
        <v>468</v>
      </c>
      <c r="H37" s="50"/>
      <c r="K37" s="110"/>
      <c r="N37" s="24" t="s">
        <v>205</v>
      </c>
    </row>
    <row r="38" spans="2:26" ht="15.95" customHeight="1" thickBot="1" x14ac:dyDescent="0.2">
      <c r="B38" s="71" t="s">
        <v>466</v>
      </c>
      <c r="C38" s="20" t="s">
        <v>36</v>
      </c>
      <c r="D38" s="155">
        <f>IF($J$19=1, O26,Q19)</f>
        <v>2</v>
      </c>
      <c r="E38" s="43" t="s">
        <v>468</v>
      </c>
      <c r="F38" s="161">
        <f>F37</f>
        <v>2</v>
      </c>
      <c r="G38" s="364" t="s">
        <v>468</v>
      </c>
      <c r="K38" s="110"/>
      <c r="L38" s="81"/>
      <c r="M38" s="81"/>
      <c r="N38" s="24" t="s">
        <v>460</v>
      </c>
      <c r="S38" s="69"/>
      <c r="T38" s="70"/>
    </row>
    <row r="39" spans="2:26" ht="15.95" customHeight="1" x14ac:dyDescent="0.15">
      <c r="B39" s="71" t="s">
        <v>192</v>
      </c>
      <c r="C39" s="20" t="s">
        <v>36</v>
      </c>
      <c r="D39" s="155">
        <f>IF($J$19=1, O27,Q19)</f>
        <v>2</v>
      </c>
      <c r="E39" s="43" t="s">
        <v>468</v>
      </c>
      <c r="F39" s="160" t="s">
        <v>51</v>
      </c>
      <c r="G39" s="364" t="s">
        <v>468</v>
      </c>
      <c r="K39" s="86"/>
      <c r="L39" s="81"/>
      <c r="M39" s="81"/>
      <c r="N39" s="84" t="s">
        <v>193</v>
      </c>
      <c r="O39" s="151">
        <f t="shared" ref="O39:O44" si="0">IF($J$19=1, O30,R30)</f>
        <v>1671313.4310645724</v>
      </c>
      <c r="P39" s="85" t="s">
        <v>469</v>
      </c>
      <c r="Q39" s="72" t="s">
        <v>350</v>
      </c>
      <c r="R39" s="151">
        <f>IF($J$19=1, O29,R22-R26*2)</f>
        <v>56</v>
      </c>
      <c r="S39" s="85" t="s">
        <v>468</v>
      </c>
      <c r="T39" s="44"/>
      <c r="U39" s="44"/>
    </row>
    <row r="40" spans="2:26" ht="15.95" customHeight="1" x14ac:dyDescent="0.15">
      <c r="B40" s="71" t="s">
        <v>361</v>
      </c>
      <c r="C40" s="20" t="s">
        <v>36</v>
      </c>
      <c r="D40" s="167">
        <f t="shared" ref="D40:D45" si="1">O39</f>
        <v>1671313.4310645724</v>
      </c>
      <c r="E40" s="43" t="s">
        <v>469</v>
      </c>
      <c r="F40" s="169">
        <f>(F34*F33^3-(F34-2*F37)*(F33-2*F38)^3)/12</f>
        <v>775178.66666666663</v>
      </c>
      <c r="G40" s="364" t="s">
        <v>469</v>
      </c>
      <c r="H40" s="336" t="s">
        <v>486</v>
      </c>
      <c r="I40" s="20" t="s">
        <v>36</v>
      </c>
      <c r="J40" s="167">
        <f>D40+F40*3</f>
        <v>3996849.4310645722</v>
      </c>
      <c r="K40" s="86" t="s">
        <v>469</v>
      </c>
      <c r="L40" s="81"/>
      <c r="M40" s="81"/>
      <c r="N40" s="71" t="s">
        <v>194</v>
      </c>
      <c r="O40" s="23">
        <f t="shared" si="0"/>
        <v>462398.66666666663</v>
      </c>
      <c r="P40" s="43" t="s">
        <v>469</v>
      </c>
      <c r="Q40" s="73" t="s">
        <v>351</v>
      </c>
      <c r="R40" s="23">
        <f>IF($J$19=1, O23-2*O25,R23-R25*2)</f>
        <v>116</v>
      </c>
      <c r="S40" s="86" t="s">
        <v>468</v>
      </c>
      <c r="U40" s="44"/>
    </row>
    <row r="41" spans="2:26" ht="15.95" customHeight="1" x14ac:dyDescent="0.15">
      <c r="B41" s="71" t="s">
        <v>362</v>
      </c>
      <c r="C41" s="20" t="s">
        <v>36</v>
      </c>
      <c r="D41" s="167">
        <f t="shared" si="1"/>
        <v>462398.66666666663</v>
      </c>
      <c r="E41" s="43" t="s">
        <v>469</v>
      </c>
      <c r="F41" s="169">
        <f>(F33*F34^3-(F33-2*F38)*(F34-2*F37)^3)/12</f>
        <v>262978.66666666669</v>
      </c>
      <c r="G41" s="364" t="s">
        <v>469</v>
      </c>
      <c r="H41" s="336" t="s">
        <v>487</v>
      </c>
      <c r="I41" s="20" t="s">
        <v>36</v>
      </c>
      <c r="J41" s="167">
        <f>D41+F41*3</f>
        <v>1251334.6666666665</v>
      </c>
      <c r="K41" s="86" t="s">
        <v>469</v>
      </c>
      <c r="L41" s="81"/>
      <c r="M41" s="81"/>
      <c r="N41" s="71" t="s">
        <v>890</v>
      </c>
      <c r="O41" s="23">
        <f t="shared" si="0"/>
        <v>30</v>
      </c>
      <c r="P41" s="43" t="s">
        <v>458</v>
      </c>
      <c r="Q41" s="73" t="s">
        <v>352</v>
      </c>
      <c r="R41" s="23">
        <f>IF($J$19=1, O25,R25)</f>
        <v>2</v>
      </c>
      <c r="S41" s="86" t="s">
        <v>468</v>
      </c>
      <c r="T41" s="90"/>
      <c r="U41" s="44"/>
    </row>
    <row r="42" spans="2:26" ht="15.95" customHeight="1" x14ac:dyDescent="0.15">
      <c r="B42" s="71" t="s">
        <v>890</v>
      </c>
      <c r="C42" s="20" t="s">
        <v>36</v>
      </c>
      <c r="D42" s="173">
        <f t="shared" si="1"/>
        <v>30</v>
      </c>
      <c r="E42" s="43" t="s">
        <v>458</v>
      </c>
      <c r="F42" s="179">
        <f>F34/2</f>
        <v>25</v>
      </c>
      <c r="G42" s="364" t="s">
        <v>458</v>
      </c>
      <c r="K42" s="110"/>
      <c r="L42" s="81"/>
      <c r="M42" s="81"/>
      <c r="N42" s="71" t="s">
        <v>891</v>
      </c>
      <c r="O42" s="23">
        <f t="shared" si="0"/>
        <v>84.109947643979055</v>
      </c>
      <c r="P42" s="43" t="s">
        <v>458</v>
      </c>
      <c r="Q42" s="73" t="s">
        <v>353</v>
      </c>
      <c r="R42" s="158">
        <f>IF($J$19=1, O26,R26)</f>
        <v>2</v>
      </c>
      <c r="S42" s="86" t="s">
        <v>468</v>
      </c>
      <c r="T42" s="90"/>
      <c r="U42" s="44"/>
    </row>
    <row r="43" spans="2:26" ht="15.95" customHeight="1" x14ac:dyDescent="0.15">
      <c r="B43" s="71" t="s">
        <v>891</v>
      </c>
      <c r="C43" s="20" t="s">
        <v>4</v>
      </c>
      <c r="D43" s="173">
        <f t="shared" si="1"/>
        <v>84.109947643979055</v>
      </c>
      <c r="E43" s="43" t="s">
        <v>458</v>
      </c>
      <c r="F43" s="179">
        <f>F33/2</f>
        <v>50</v>
      </c>
      <c r="G43" s="364" t="s">
        <v>458</v>
      </c>
      <c r="H43" s="336" t="s">
        <v>407</v>
      </c>
      <c r="I43" s="20" t="s">
        <v>100</v>
      </c>
      <c r="J43" s="108">
        <f>D40/J40</f>
        <v>0.41815771644402761</v>
      </c>
      <c r="K43" s="110"/>
      <c r="L43" s="81"/>
      <c r="M43" s="81"/>
      <c r="N43" s="71" t="s">
        <v>195</v>
      </c>
      <c r="O43" s="23">
        <f t="shared" si="0"/>
        <v>19870.579852681814</v>
      </c>
      <c r="P43" s="43" t="s">
        <v>470</v>
      </c>
      <c r="Q43" s="91"/>
      <c r="R43" s="81"/>
      <c r="S43" s="92"/>
      <c r="T43" s="90"/>
      <c r="U43" s="44"/>
    </row>
    <row r="44" spans="2:26" ht="15.95" customHeight="1" thickBot="1" x14ac:dyDescent="0.2">
      <c r="B44" s="71" t="s">
        <v>360</v>
      </c>
      <c r="C44" s="20" t="s">
        <v>36</v>
      </c>
      <c r="D44" s="167">
        <f t="shared" si="1"/>
        <v>19870.579852681814</v>
      </c>
      <c r="E44" s="43" t="s">
        <v>470</v>
      </c>
      <c r="F44" s="170">
        <f>F40/F43</f>
        <v>15503.573333333332</v>
      </c>
      <c r="G44" s="166" t="s">
        <v>470</v>
      </c>
      <c r="H44" s="363" t="s">
        <v>408</v>
      </c>
      <c r="I44" s="33" t="s">
        <v>100</v>
      </c>
      <c r="J44" s="569">
        <f>1-J43</f>
        <v>0.58184228355597245</v>
      </c>
      <c r="K44" s="141"/>
      <c r="L44" s="81"/>
      <c r="M44" s="81"/>
      <c r="N44" s="87" t="s">
        <v>349</v>
      </c>
      <c r="O44" s="152">
        <f t="shared" si="0"/>
        <v>1064553.0909090908</v>
      </c>
      <c r="P44" s="153" t="s">
        <v>470</v>
      </c>
      <c r="Q44" s="94"/>
      <c r="R44" s="93"/>
      <c r="S44" s="95"/>
      <c r="T44" s="90"/>
      <c r="U44" s="44"/>
    </row>
    <row r="45" spans="2:26" ht="15.95" customHeight="1" thickBot="1" x14ac:dyDescent="0.2">
      <c r="B45" s="87" t="s">
        <v>349</v>
      </c>
      <c r="C45" s="33" t="s">
        <v>36</v>
      </c>
      <c r="D45" s="168">
        <f t="shared" si="1"/>
        <v>1064553.0909090908</v>
      </c>
      <c r="E45" s="88" t="s">
        <v>470</v>
      </c>
      <c r="F45" s="89"/>
      <c r="G45" s="81"/>
      <c r="H45" s="81"/>
      <c r="K45" s="81"/>
      <c r="L45" s="81"/>
      <c r="M45" s="81"/>
    </row>
    <row r="46" spans="2:26" ht="15.75" customHeight="1" x14ac:dyDescent="0.15">
      <c r="B46" s="708" t="s">
        <v>1000</v>
      </c>
      <c r="C46" s="708"/>
      <c r="D46" s="708"/>
      <c r="E46" s="708"/>
      <c r="F46" s="708"/>
      <c r="G46" s="708"/>
      <c r="H46" s="708"/>
      <c r="I46" s="708"/>
      <c r="J46" s="708"/>
      <c r="K46" s="708"/>
      <c r="L46" s="81"/>
      <c r="M46" s="81"/>
    </row>
    <row r="47" spans="2:26" ht="15.95" hidden="1" customHeight="1" x14ac:dyDescent="0.15">
      <c r="B47" s="77" t="s">
        <v>84</v>
      </c>
    </row>
    <row r="48" spans="2:26" ht="15.95" hidden="1" customHeight="1" x14ac:dyDescent="0.15"/>
    <row r="49" spans="1:8" ht="15.95" hidden="1" customHeight="1" x14ac:dyDescent="0.15">
      <c r="B49" s="43" t="s">
        <v>200</v>
      </c>
    </row>
    <row r="50" spans="1:8" ht="15.95" hidden="1" customHeight="1" x14ac:dyDescent="0.15">
      <c r="A50" s="49"/>
    </row>
    <row r="51" spans="1:8" ht="15.95" hidden="1" customHeight="1" x14ac:dyDescent="0.15">
      <c r="A51" s="49"/>
    </row>
    <row r="52" spans="1:8" ht="15.95" hidden="1" customHeight="1" x14ac:dyDescent="0.15">
      <c r="A52" s="49"/>
    </row>
    <row r="53" spans="1:8" ht="15.95" hidden="1" customHeight="1" x14ac:dyDescent="0.15">
      <c r="A53" s="49"/>
    </row>
    <row r="54" spans="1:8" ht="15.95" hidden="1" customHeight="1" x14ac:dyDescent="0.15">
      <c r="A54" s="49"/>
    </row>
    <row r="55" spans="1:8" ht="15.95" hidden="1" customHeight="1" x14ac:dyDescent="0.15">
      <c r="A55" s="49"/>
    </row>
    <row r="56" spans="1:8" ht="15.95" hidden="1" customHeight="1" x14ac:dyDescent="0.15">
      <c r="A56" s="49"/>
    </row>
    <row r="57" spans="1:8" ht="15.95" hidden="1" customHeight="1" x14ac:dyDescent="0.15">
      <c r="A57" s="49"/>
    </row>
    <row r="58" spans="1:8" ht="15.95" hidden="1" customHeight="1" x14ac:dyDescent="0.15">
      <c r="A58" s="49"/>
    </row>
    <row r="59" spans="1:8" ht="15.95" hidden="1" customHeight="1" x14ac:dyDescent="0.15"/>
    <row r="60" spans="1:8" ht="15.95" hidden="1" customHeight="1" x14ac:dyDescent="0.15">
      <c r="B60" s="24" t="s">
        <v>91</v>
      </c>
    </row>
    <row r="61" spans="1:8" ht="15.95" hidden="1" customHeight="1" x14ac:dyDescent="0.15"/>
    <row r="62" spans="1:8" ht="15.95" hidden="1" customHeight="1" x14ac:dyDescent="0.15">
      <c r="B62" s="36" t="s">
        <v>85</v>
      </c>
      <c r="C62" s="20" t="s">
        <v>36</v>
      </c>
      <c r="D62" s="36" t="s">
        <v>88</v>
      </c>
      <c r="E62" s="68"/>
      <c r="F62" s="43"/>
      <c r="G62" s="20" t="s">
        <v>100</v>
      </c>
      <c r="H62" s="36" t="s">
        <v>101</v>
      </c>
    </row>
    <row r="63" spans="1:8" ht="15.95" hidden="1" customHeight="1" x14ac:dyDescent="0.15">
      <c r="B63" s="36" t="s">
        <v>86</v>
      </c>
      <c r="C63" s="20" t="s">
        <v>36</v>
      </c>
      <c r="D63" s="36" t="s">
        <v>89</v>
      </c>
      <c r="E63" s="68"/>
      <c r="F63" s="43"/>
      <c r="G63" s="20"/>
      <c r="H63" s="36"/>
    </row>
    <row r="64" spans="1:8" ht="15.95" hidden="1" customHeight="1" x14ac:dyDescent="0.15">
      <c r="B64" s="36" t="s">
        <v>87</v>
      </c>
      <c r="C64" s="20" t="s">
        <v>36</v>
      </c>
      <c r="D64" s="36" t="s">
        <v>90</v>
      </c>
      <c r="E64" s="68"/>
      <c r="F64" s="43"/>
      <c r="G64" s="20" t="s">
        <v>100</v>
      </c>
      <c r="H64" s="36" t="s">
        <v>102</v>
      </c>
    </row>
    <row r="65" spans="1:14" ht="15.95" hidden="1" customHeight="1" x14ac:dyDescent="0.15">
      <c r="B65" s="36" t="s">
        <v>65</v>
      </c>
      <c r="C65" s="20" t="s">
        <v>36</v>
      </c>
      <c r="D65" s="36" t="s">
        <v>207</v>
      </c>
      <c r="E65" s="68"/>
      <c r="F65" s="43"/>
      <c r="G65" s="20"/>
      <c r="H65" s="36"/>
    </row>
    <row r="66" spans="1:14" ht="15.95" hidden="1" customHeight="1" x14ac:dyDescent="0.15">
      <c r="B66" s="78" t="s">
        <v>120</v>
      </c>
      <c r="C66" s="20" t="s">
        <v>36</v>
      </c>
      <c r="D66" s="36" t="s">
        <v>189</v>
      </c>
      <c r="E66" s="38"/>
      <c r="F66" s="43"/>
      <c r="G66" s="20"/>
      <c r="H66" s="36" t="s">
        <v>103</v>
      </c>
    </row>
    <row r="67" spans="1:14" ht="15.95" hidden="1" customHeight="1" x14ac:dyDescent="0.15"/>
    <row r="68" spans="1:14" ht="15.95" hidden="1" customHeight="1" x14ac:dyDescent="0.15"/>
    <row r="69" spans="1:14" ht="15.95" hidden="1" customHeight="1" x14ac:dyDescent="0.15">
      <c r="A69" s="49"/>
      <c r="B69" s="24" t="s">
        <v>92</v>
      </c>
    </row>
    <row r="70" spans="1:14" ht="15.95" hidden="1" customHeight="1" x14ac:dyDescent="0.15"/>
    <row r="71" spans="1:14" ht="15.95" hidden="1" customHeight="1" x14ac:dyDescent="0.15">
      <c r="B71" s="78" t="s">
        <v>93</v>
      </c>
      <c r="C71" s="20" t="s">
        <v>36</v>
      </c>
      <c r="D71" s="172">
        <f>D11</f>
        <v>4750</v>
      </c>
      <c r="E71" s="43" t="s">
        <v>458</v>
      </c>
      <c r="G71" s="20" t="s">
        <v>100</v>
      </c>
      <c r="H71" s="36" t="s">
        <v>398</v>
      </c>
      <c r="N71" s="36"/>
    </row>
    <row r="72" spans="1:14" ht="15.95" hidden="1" customHeight="1" x14ac:dyDescent="0.15">
      <c r="B72" s="78" t="s">
        <v>43</v>
      </c>
      <c r="C72" s="20" t="s">
        <v>36</v>
      </c>
      <c r="D72" s="172">
        <f>D10</f>
        <v>250</v>
      </c>
      <c r="E72" s="43" t="s">
        <v>458</v>
      </c>
      <c r="G72" s="20" t="s">
        <v>100</v>
      </c>
      <c r="H72" s="36" t="s">
        <v>399</v>
      </c>
      <c r="N72" s="36"/>
    </row>
    <row r="73" spans="1:14" ht="15.95" hidden="1" customHeight="1" x14ac:dyDescent="0.15">
      <c r="B73" s="78" t="s">
        <v>111</v>
      </c>
      <c r="C73" s="20" t="s">
        <v>36</v>
      </c>
      <c r="D73" s="172">
        <f>(D71^2-D72^2)/(2*D71)</f>
        <v>2368.4210526315787</v>
      </c>
      <c r="E73" s="43" t="s">
        <v>458</v>
      </c>
      <c r="G73" s="20" t="s">
        <v>100</v>
      </c>
      <c r="H73" s="36" t="s">
        <v>126</v>
      </c>
      <c r="J73" s="38"/>
      <c r="K73" s="20"/>
      <c r="L73" s="79"/>
      <c r="M73" s="49"/>
      <c r="N73" s="36"/>
    </row>
    <row r="74" spans="1:14" ht="15.95" hidden="1" customHeight="1" x14ac:dyDescent="0.15">
      <c r="B74" s="78" t="s">
        <v>1048</v>
      </c>
      <c r="C74" s="20" t="s">
        <v>36</v>
      </c>
      <c r="D74" s="96">
        <f>0.65*ABS(D5/1000*(D7+D8)/2)</f>
        <v>0</v>
      </c>
      <c r="E74" s="24" t="s">
        <v>477</v>
      </c>
      <c r="G74" s="20" t="s">
        <v>100</v>
      </c>
      <c r="H74" s="36" t="s">
        <v>97</v>
      </c>
    </row>
    <row r="75" spans="1:14" ht="15.95" hidden="1" customHeight="1" x14ac:dyDescent="0.15">
      <c r="B75" s="78" t="s">
        <v>94</v>
      </c>
      <c r="C75" s="20" t="s">
        <v>36</v>
      </c>
      <c r="D75" s="172">
        <f>D6</f>
        <v>69637.021649999995</v>
      </c>
      <c r="E75" s="43" t="s">
        <v>457</v>
      </c>
      <c r="G75" s="20" t="s">
        <v>100</v>
      </c>
      <c r="H75" s="36" t="s">
        <v>95</v>
      </c>
    </row>
    <row r="76" spans="1:14" ht="15.95" hidden="1" customHeight="1" x14ac:dyDescent="0.15">
      <c r="B76" s="22" t="s">
        <v>405</v>
      </c>
      <c r="C76" s="20" t="s">
        <v>36</v>
      </c>
      <c r="D76" s="172">
        <f>J40</f>
        <v>3996849.4310645722</v>
      </c>
      <c r="E76" s="24" t="s">
        <v>475</v>
      </c>
      <c r="G76" s="20" t="s">
        <v>100</v>
      </c>
      <c r="H76" s="36" t="s">
        <v>406</v>
      </c>
    </row>
    <row r="77" spans="1:14" ht="15.95" hidden="1" customHeight="1" x14ac:dyDescent="0.15">
      <c r="F77" s="24" t="s">
        <v>0</v>
      </c>
    </row>
    <row r="78" spans="1:14" ht="15.95" hidden="1" customHeight="1" x14ac:dyDescent="0.15"/>
    <row r="79" spans="1:14" ht="15.95" hidden="1" customHeight="1" x14ac:dyDescent="0.15">
      <c r="A79" s="35"/>
      <c r="B79" s="24" t="s">
        <v>104</v>
      </c>
    </row>
    <row r="80" spans="1:14" ht="15.95" hidden="1" customHeight="1" x14ac:dyDescent="0.15"/>
    <row r="81" spans="1:11" ht="15.95" hidden="1" customHeight="1" x14ac:dyDescent="0.15">
      <c r="A81" s="24" t="s">
        <v>239</v>
      </c>
      <c r="B81" s="78" t="s">
        <v>105</v>
      </c>
      <c r="C81" s="20" t="s">
        <v>36</v>
      </c>
      <c r="D81" s="36" t="s">
        <v>112</v>
      </c>
      <c r="H81" s="78" t="s">
        <v>86</v>
      </c>
      <c r="I81" s="20" t="s">
        <v>36</v>
      </c>
      <c r="J81" s="97" t="s">
        <v>113</v>
      </c>
    </row>
    <row r="82" spans="1:11" ht="15.95" hidden="1" customHeight="1" x14ac:dyDescent="0.15">
      <c r="B82" s="78"/>
      <c r="C82" s="20" t="s">
        <v>36</v>
      </c>
      <c r="D82" s="172">
        <f>D74*(D71^2-D72^2)/(2*D71)</f>
        <v>0</v>
      </c>
      <c r="E82" s="24" t="s">
        <v>476</v>
      </c>
      <c r="H82" s="78"/>
      <c r="I82" s="20" t="s">
        <v>36</v>
      </c>
      <c r="J82" s="172">
        <f>D74*(D71+D72)^2/(2*D71)</f>
        <v>0</v>
      </c>
      <c r="K82" s="24" t="s">
        <v>476</v>
      </c>
    </row>
    <row r="83" spans="1:11" ht="15.95" hidden="1" customHeight="1" x14ac:dyDescent="0.15"/>
    <row r="84" spans="1:11" ht="15.95" hidden="1" customHeight="1" x14ac:dyDescent="0.15">
      <c r="B84" s="78" t="s">
        <v>106</v>
      </c>
      <c r="C84" s="20" t="s">
        <v>36</v>
      </c>
      <c r="D84" s="97" t="s">
        <v>110</v>
      </c>
      <c r="H84" s="78" t="s">
        <v>107</v>
      </c>
      <c r="I84" s="20" t="s">
        <v>36</v>
      </c>
      <c r="J84" s="97" t="s">
        <v>114</v>
      </c>
    </row>
    <row r="85" spans="1:11" ht="15.95" hidden="1" customHeight="1" x14ac:dyDescent="0.15">
      <c r="B85" s="78"/>
      <c r="C85" s="20" t="s">
        <v>4</v>
      </c>
      <c r="D85" s="172">
        <f>(D74*D72^2/2)</f>
        <v>0</v>
      </c>
      <c r="E85" s="43" t="s">
        <v>498</v>
      </c>
      <c r="H85" s="78"/>
      <c r="I85" s="20" t="s">
        <v>4</v>
      </c>
      <c r="J85" s="172">
        <f>((D82*D73)-(D74*D73^2/2))</f>
        <v>0</v>
      </c>
      <c r="K85" s="43" t="s">
        <v>498</v>
      </c>
    </row>
    <row r="86" spans="1:11" ht="15.95" hidden="1" customHeight="1" x14ac:dyDescent="0.15"/>
    <row r="87" spans="1:11" ht="15.95" hidden="1" customHeight="1" x14ac:dyDescent="0.15">
      <c r="B87" s="78" t="s">
        <v>108</v>
      </c>
      <c r="C87" s="20" t="s">
        <v>36</v>
      </c>
      <c r="D87" s="656" t="s">
        <v>115</v>
      </c>
    </row>
    <row r="88" spans="1:11" ht="15.95" hidden="1" customHeight="1" x14ac:dyDescent="0.15">
      <c r="B88" s="78"/>
      <c r="C88" s="20" t="s">
        <v>36</v>
      </c>
      <c r="D88" s="79">
        <f>(D74*D72^4/(8*D75*D76))+((D74*D71*D72*(4*D72^2-D71^2))/(24*D75*D76))</f>
        <v>0</v>
      </c>
      <c r="E88" s="43" t="s">
        <v>458</v>
      </c>
    </row>
    <row r="89" spans="1:11" ht="15.95" hidden="1" customHeight="1" x14ac:dyDescent="0.15"/>
    <row r="90" spans="1:11" ht="15.95" hidden="1" customHeight="1" x14ac:dyDescent="0.15">
      <c r="B90" s="78" t="s">
        <v>109</v>
      </c>
      <c r="C90" s="20" t="s">
        <v>36</v>
      </c>
      <c r="D90" s="656" t="s">
        <v>116</v>
      </c>
    </row>
    <row r="91" spans="1:11" ht="15.95" hidden="1" customHeight="1" x14ac:dyDescent="0.15">
      <c r="B91" s="68"/>
      <c r="C91" s="20" t="s">
        <v>36</v>
      </c>
      <c r="D91" s="79">
        <f>(5*D74*D71^4/(384*D75*D76))-(D85*D71^2/(16*D75*D76))</f>
        <v>0</v>
      </c>
      <c r="E91" s="43" t="s">
        <v>458</v>
      </c>
    </row>
    <row r="92" spans="1:11" ht="15.95" hidden="1" customHeight="1" x14ac:dyDescent="0.15"/>
    <row r="93" spans="1:11" ht="15.95" hidden="1" customHeight="1" x14ac:dyDescent="0.15">
      <c r="B93" s="43" t="s">
        <v>201</v>
      </c>
    </row>
    <row r="94" spans="1:11" ht="15.95" hidden="1" customHeight="1" x14ac:dyDescent="0.15">
      <c r="A94" s="49"/>
    </row>
    <row r="95" spans="1:11" ht="15.95" hidden="1" customHeight="1" x14ac:dyDescent="0.15">
      <c r="A95" s="49"/>
    </row>
    <row r="96" spans="1:11" ht="15.95" hidden="1" customHeight="1" x14ac:dyDescent="0.15">
      <c r="A96" s="49"/>
    </row>
    <row r="97" spans="1:8" ht="15.95" hidden="1" customHeight="1" x14ac:dyDescent="0.15">
      <c r="A97" s="49"/>
    </row>
    <row r="98" spans="1:8" ht="15.95" hidden="1" customHeight="1" x14ac:dyDescent="0.15">
      <c r="A98" s="49"/>
    </row>
    <row r="99" spans="1:8" ht="15.95" hidden="1" customHeight="1" x14ac:dyDescent="0.15">
      <c r="A99" s="49"/>
    </row>
    <row r="100" spans="1:8" ht="15.95" hidden="1" customHeight="1" x14ac:dyDescent="0.15">
      <c r="A100" s="49"/>
    </row>
    <row r="101" spans="1:8" ht="15.95" hidden="1" customHeight="1" x14ac:dyDescent="0.15">
      <c r="A101" s="49"/>
    </row>
    <row r="102" spans="1:8" ht="15.95" hidden="1" customHeight="1" x14ac:dyDescent="0.15">
      <c r="A102" s="49"/>
    </row>
    <row r="103" spans="1:8" ht="15.95" hidden="1" customHeight="1" x14ac:dyDescent="0.15">
      <c r="A103" s="49"/>
    </row>
    <row r="104" spans="1:8" ht="15.95" hidden="1" customHeight="1" x14ac:dyDescent="0.15"/>
    <row r="105" spans="1:8" ht="15.95" hidden="1" customHeight="1" x14ac:dyDescent="0.15">
      <c r="B105" s="24" t="s">
        <v>91</v>
      </c>
    </row>
    <row r="106" spans="1:8" ht="15.95" hidden="1" customHeight="1" x14ac:dyDescent="0.15"/>
    <row r="107" spans="1:8" ht="15.95" hidden="1" customHeight="1" x14ac:dyDescent="0.15">
      <c r="B107" s="78" t="s">
        <v>105</v>
      </c>
      <c r="C107" s="20" t="s">
        <v>36</v>
      </c>
      <c r="D107" s="36" t="s">
        <v>251</v>
      </c>
      <c r="E107" s="68"/>
      <c r="G107" s="20" t="s">
        <v>100</v>
      </c>
      <c r="H107" s="98" t="s">
        <v>101</v>
      </c>
    </row>
    <row r="108" spans="1:8" ht="15.95" hidden="1" customHeight="1" x14ac:dyDescent="0.15">
      <c r="B108" s="78" t="s">
        <v>86</v>
      </c>
      <c r="C108" s="20" t="s">
        <v>36</v>
      </c>
      <c r="D108" s="99" t="s">
        <v>252</v>
      </c>
    </row>
    <row r="109" spans="1:8" ht="15.95" hidden="1" customHeight="1" x14ac:dyDescent="0.15"/>
    <row r="110" spans="1:8" ht="15.95" hidden="1" customHeight="1" x14ac:dyDescent="0.15"/>
    <row r="111" spans="1:8" ht="15.95" hidden="1" customHeight="1" x14ac:dyDescent="0.15">
      <c r="A111" s="49"/>
      <c r="B111" s="24" t="s">
        <v>92</v>
      </c>
    </row>
    <row r="112" spans="1:8" ht="15.95" hidden="1" customHeight="1" x14ac:dyDescent="0.15"/>
    <row r="113" spans="1:8" ht="15.95" hidden="1" customHeight="1" x14ac:dyDescent="0.15">
      <c r="B113" s="98" t="s">
        <v>93</v>
      </c>
      <c r="C113" s="20" t="s">
        <v>36</v>
      </c>
      <c r="D113" s="172">
        <f>D11</f>
        <v>4750</v>
      </c>
      <c r="E113" s="43" t="s">
        <v>458</v>
      </c>
      <c r="G113" s="20" t="s">
        <v>100</v>
      </c>
      <c r="H113" s="36" t="s">
        <v>98</v>
      </c>
    </row>
    <row r="114" spans="1:8" ht="15.95" hidden="1" customHeight="1" x14ac:dyDescent="0.15">
      <c r="B114" s="36" t="s">
        <v>43</v>
      </c>
      <c r="C114" s="20" t="s">
        <v>36</v>
      </c>
      <c r="D114" s="174">
        <f>D10</f>
        <v>250</v>
      </c>
      <c r="E114" s="43" t="s">
        <v>458</v>
      </c>
      <c r="G114" s="20" t="s">
        <v>100</v>
      </c>
      <c r="H114" s="36" t="s">
        <v>99</v>
      </c>
    </row>
    <row r="115" spans="1:8" ht="15.95" hidden="1" customHeight="1" x14ac:dyDescent="0.15">
      <c r="B115" s="100" t="s">
        <v>117</v>
      </c>
      <c r="C115" s="20" t="s">
        <v>36</v>
      </c>
      <c r="D115" s="172">
        <f>D82</f>
        <v>0</v>
      </c>
      <c r="E115" s="24" t="s">
        <v>476</v>
      </c>
      <c r="G115" s="20" t="s">
        <v>100</v>
      </c>
      <c r="H115" s="36" t="s">
        <v>118</v>
      </c>
    </row>
    <row r="116" spans="1:8" ht="15.95" hidden="1" customHeight="1" x14ac:dyDescent="0.15">
      <c r="F116" s="24" t="s">
        <v>0</v>
      </c>
    </row>
    <row r="117" spans="1:8" ht="15.95" hidden="1" customHeight="1" x14ac:dyDescent="0.15"/>
    <row r="118" spans="1:8" ht="15.95" hidden="1" customHeight="1" x14ac:dyDescent="0.15">
      <c r="A118" s="35"/>
      <c r="B118" s="24" t="s">
        <v>104</v>
      </c>
    </row>
    <row r="119" spans="1:8" ht="15.95" hidden="1" customHeight="1" x14ac:dyDescent="0.15"/>
    <row r="120" spans="1:8" ht="15.95" hidden="1" customHeight="1" x14ac:dyDescent="0.15">
      <c r="A120" s="24" t="s">
        <v>239</v>
      </c>
      <c r="B120" s="78" t="s">
        <v>105</v>
      </c>
      <c r="C120" s="20" t="s">
        <v>36</v>
      </c>
      <c r="D120" s="36" t="s">
        <v>253</v>
      </c>
    </row>
    <row r="121" spans="1:8" ht="15.95" hidden="1" customHeight="1" x14ac:dyDescent="0.15">
      <c r="B121" s="49"/>
      <c r="C121" s="20" t="s">
        <v>36</v>
      </c>
      <c r="D121" s="172">
        <f>D115*D114/D113</f>
        <v>0</v>
      </c>
      <c r="E121" s="24" t="s">
        <v>476</v>
      </c>
    </row>
    <row r="122" spans="1:8" ht="15.95" hidden="1" customHeight="1" x14ac:dyDescent="0.15">
      <c r="B122" s="78" t="s">
        <v>86</v>
      </c>
      <c r="C122" s="20" t="s">
        <v>36</v>
      </c>
      <c r="D122" s="99" t="s">
        <v>252</v>
      </c>
    </row>
    <row r="123" spans="1:8" ht="15.95" hidden="1" customHeight="1" x14ac:dyDescent="0.15">
      <c r="B123" s="49"/>
      <c r="C123" s="20" t="s">
        <v>36</v>
      </c>
      <c r="D123" s="172">
        <f>(D114+D113)/D113*D115</f>
        <v>0</v>
      </c>
      <c r="E123" s="24" t="s">
        <v>476</v>
      </c>
    </row>
    <row r="124" spans="1:8" ht="15.95" hidden="1" customHeight="1" x14ac:dyDescent="0.15">
      <c r="B124" s="49"/>
      <c r="C124" s="20"/>
      <c r="D124" s="79"/>
    </row>
    <row r="125" spans="1:8" ht="15.95" hidden="1" customHeight="1" x14ac:dyDescent="0.15">
      <c r="B125" s="49"/>
      <c r="C125" s="20"/>
      <c r="D125" s="79"/>
    </row>
    <row r="126" spans="1:8" ht="15.95" hidden="1" customHeight="1" x14ac:dyDescent="0.15">
      <c r="B126" s="49"/>
      <c r="C126" s="20"/>
      <c r="D126" s="79"/>
    </row>
    <row r="127" spans="1:8" ht="15.95" hidden="1" customHeight="1" x14ac:dyDescent="0.15">
      <c r="B127" s="49"/>
      <c r="C127" s="20"/>
      <c r="D127" s="79"/>
    </row>
    <row r="128" spans="1:8" ht="15.95" hidden="1" customHeight="1" x14ac:dyDescent="0.15">
      <c r="B128" s="49"/>
      <c r="C128" s="20"/>
      <c r="D128" s="79"/>
    </row>
    <row r="129" spans="1:4" ht="15.95" hidden="1" customHeight="1" x14ac:dyDescent="0.15">
      <c r="B129" s="49"/>
      <c r="C129" s="20"/>
      <c r="D129" s="79"/>
    </row>
    <row r="130" spans="1:4" ht="15.95" hidden="1" customHeight="1" x14ac:dyDescent="0.15">
      <c r="B130" s="49"/>
      <c r="C130" s="20"/>
      <c r="D130" s="79"/>
    </row>
    <row r="131" spans="1:4" ht="15.95" hidden="1" customHeight="1" x14ac:dyDescent="0.15">
      <c r="B131" s="49"/>
      <c r="C131" s="20"/>
      <c r="D131" s="79"/>
    </row>
    <row r="132" spans="1:4" ht="15.95" hidden="1" customHeight="1" x14ac:dyDescent="0.15">
      <c r="B132" s="49"/>
      <c r="C132" s="20"/>
      <c r="D132" s="79"/>
    </row>
    <row r="133" spans="1:4" ht="15.95" hidden="1" customHeight="1" x14ac:dyDescent="0.15">
      <c r="B133" s="49"/>
      <c r="C133" s="20"/>
      <c r="D133" s="79"/>
    </row>
    <row r="134" spans="1:4" ht="15.95" hidden="1" customHeight="1" x14ac:dyDescent="0.15">
      <c r="B134" s="49"/>
      <c r="C134" s="20"/>
      <c r="D134" s="79"/>
    </row>
    <row r="135" spans="1:4" ht="15.95" hidden="1" customHeight="1" x14ac:dyDescent="0.15">
      <c r="B135" s="49"/>
      <c r="C135" s="20"/>
      <c r="D135" s="79"/>
    </row>
    <row r="136" spans="1:4" ht="15.95" hidden="1" customHeight="1" x14ac:dyDescent="0.15">
      <c r="B136" s="49"/>
      <c r="C136" s="20"/>
      <c r="D136" s="79"/>
    </row>
    <row r="137" spans="1:4" ht="15.95" hidden="1" customHeight="1" x14ac:dyDescent="0.15">
      <c r="B137" s="49"/>
      <c r="C137" s="20"/>
      <c r="D137" s="79"/>
    </row>
    <row r="138" spans="1:4" ht="15.95" hidden="1" customHeight="1" x14ac:dyDescent="0.15">
      <c r="B138" s="49"/>
      <c r="C138" s="20"/>
      <c r="D138" s="79"/>
    </row>
    <row r="139" spans="1:4" ht="15.95" hidden="1" customHeight="1" x14ac:dyDescent="0.15">
      <c r="B139" s="43" t="s">
        <v>202</v>
      </c>
    </row>
    <row r="140" spans="1:4" ht="15.95" hidden="1" customHeight="1" x14ac:dyDescent="0.15">
      <c r="A140" s="49"/>
    </row>
    <row r="141" spans="1:4" ht="15.95" hidden="1" customHeight="1" x14ac:dyDescent="0.15">
      <c r="A141" s="49"/>
    </row>
    <row r="142" spans="1:4" ht="15.95" hidden="1" customHeight="1" x14ac:dyDescent="0.15">
      <c r="A142" s="49"/>
    </row>
    <row r="143" spans="1:4" ht="15.95" hidden="1" customHeight="1" x14ac:dyDescent="0.15">
      <c r="A143" s="49"/>
    </row>
    <row r="144" spans="1:4" ht="15.95" hidden="1" customHeight="1" x14ac:dyDescent="0.15">
      <c r="A144" s="49"/>
    </row>
    <row r="145" spans="1:14" ht="15.95" hidden="1" customHeight="1" x14ac:dyDescent="0.15">
      <c r="A145" s="49"/>
    </row>
    <row r="146" spans="1:14" ht="15.95" hidden="1" customHeight="1" x14ac:dyDescent="0.15">
      <c r="A146" s="49"/>
    </row>
    <row r="147" spans="1:14" ht="15.95" hidden="1" customHeight="1" x14ac:dyDescent="0.15">
      <c r="A147" s="49"/>
    </row>
    <row r="148" spans="1:14" ht="15.95" hidden="1" customHeight="1" x14ac:dyDescent="0.15">
      <c r="A148" s="49"/>
    </row>
    <row r="149" spans="1:14" ht="15.95" hidden="1" customHeight="1" x14ac:dyDescent="0.15">
      <c r="A149" s="49"/>
    </row>
    <row r="150" spans="1:14" ht="15.95" hidden="1" customHeight="1" x14ac:dyDescent="0.15"/>
    <row r="151" spans="1:14" ht="15.95" hidden="1" customHeight="1" x14ac:dyDescent="0.15">
      <c r="B151" s="24" t="s">
        <v>91</v>
      </c>
    </row>
    <row r="152" spans="1:14" ht="15.95" hidden="1" customHeight="1" x14ac:dyDescent="0.15"/>
    <row r="153" spans="1:14" ht="15.95" hidden="1" customHeight="1" x14ac:dyDescent="0.15">
      <c r="B153" s="78" t="s">
        <v>105</v>
      </c>
      <c r="C153" s="20" t="s">
        <v>36</v>
      </c>
      <c r="D153" s="36" t="s">
        <v>253</v>
      </c>
      <c r="E153" s="68"/>
      <c r="G153" s="20" t="s">
        <v>100</v>
      </c>
      <c r="H153" s="98" t="s">
        <v>101</v>
      </c>
    </row>
    <row r="154" spans="1:14" ht="15.95" hidden="1" customHeight="1" x14ac:dyDescent="0.15">
      <c r="B154" s="78" t="s">
        <v>86</v>
      </c>
      <c r="C154" s="20" t="s">
        <v>36</v>
      </c>
      <c r="D154" s="99" t="s">
        <v>252</v>
      </c>
      <c r="E154" s="68"/>
    </row>
    <row r="155" spans="1:14" ht="15.95" hidden="1" customHeight="1" x14ac:dyDescent="0.15">
      <c r="B155" s="78" t="s">
        <v>87</v>
      </c>
      <c r="C155" s="20" t="s">
        <v>36</v>
      </c>
      <c r="D155" s="36" t="s">
        <v>121</v>
      </c>
      <c r="E155" s="68"/>
      <c r="G155" s="20" t="s">
        <v>100</v>
      </c>
      <c r="H155" s="36" t="s">
        <v>102</v>
      </c>
    </row>
    <row r="156" spans="1:14" ht="15.95" hidden="1" customHeight="1" x14ac:dyDescent="0.15">
      <c r="B156" s="78" t="s">
        <v>119</v>
      </c>
      <c r="C156" s="20" t="s">
        <v>36</v>
      </c>
      <c r="D156" s="36" t="s">
        <v>122</v>
      </c>
      <c r="E156" s="68"/>
      <c r="G156" s="36" t="s">
        <v>124</v>
      </c>
      <c r="H156" s="36"/>
      <c r="N156" s="43"/>
    </row>
    <row r="157" spans="1:14" ht="15.95" hidden="1" customHeight="1" x14ac:dyDescent="0.15">
      <c r="B157" s="78" t="s">
        <v>120</v>
      </c>
      <c r="C157" s="20" t="s">
        <v>36</v>
      </c>
      <c r="D157" s="36" t="s">
        <v>123</v>
      </c>
      <c r="E157" s="38"/>
      <c r="G157" s="20" t="s">
        <v>100</v>
      </c>
      <c r="H157" s="36" t="s">
        <v>103</v>
      </c>
      <c r="N157" s="43"/>
    </row>
    <row r="158" spans="1:14" ht="15.95" hidden="1" customHeight="1" x14ac:dyDescent="0.15"/>
    <row r="159" spans="1:14" ht="15.95" hidden="1" customHeight="1" x14ac:dyDescent="0.15"/>
    <row r="160" spans="1:14" ht="15.95" hidden="1" customHeight="1" x14ac:dyDescent="0.15">
      <c r="A160" s="49"/>
      <c r="B160" s="24" t="s">
        <v>92</v>
      </c>
    </row>
    <row r="161" spans="1:11" ht="15.95" hidden="1" customHeight="1" x14ac:dyDescent="0.15"/>
    <row r="162" spans="1:11" ht="15.95" hidden="1" customHeight="1" x14ac:dyDescent="0.15">
      <c r="B162" s="98" t="s">
        <v>93</v>
      </c>
      <c r="C162" s="20" t="s">
        <v>36</v>
      </c>
      <c r="D162" s="172">
        <f>D71</f>
        <v>4750</v>
      </c>
      <c r="E162" s="43" t="s">
        <v>458</v>
      </c>
      <c r="F162" s="43"/>
      <c r="G162" s="20" t="s">
        <v>100</v>
      </c>
      <c r="H162" s="36" t="s">
        <v>98</v>
      </c>
    </row>
    <row r="163" spans="1:11" ht="15.95" hidden="1" customHeight="1" x14ac:dyDescent="0.15">
      <c r="B163" s="36" t="s">
        <v>43</v>
      </c>
      <c r="C163" s="20" t="s">
        <v>36</v>
      </c>
      <c r="D163" s="174">
        <f>D72</f>
        <v>250</v>
      </c>
      <c r="E163" s="43" t="s">
        <v>458</v>
      </c>
      <c r="F163" s="43"/>
      <c r="G163" s="20" t="s">
        <v>100</v>
      </c>
      <c r="H163" s="36" t="s">
        <v>99</v>
      </c>
    </row>
    <row r="164" spans="1:11" ht="15.95" hidden="1" customHeight="1" x14ac:dyDescent="0.15">
      <c r="B164" s="36" t="s">
        <v>125</v>
      </c>
      <c r="C164" s="20" t="s">
        <v>36</v>
      </c>
      <c r="D164" s="172">
        <f>(D162^2-D163^2)/(2*D162)</f>
        <v>2368.4210526315787</v>
      </c>
      <c r="E164" s="43" t="s">
        <v>458</v>
      </c>
      <c r="F164" s="43"/>
      <c r="G164" s="20" t="s">
        <v>100</v>
      </c>
      <c r="H164" s="36" t="s">
        <v>126</v>
      </c>
      <c r="K164" s="36"/>
    </row>
    <row r="165" spans="1:11" ht="15.95" hidden="1" customHeight="1" x14ac:dyDescent="0.15">
      <c r="B165" s="100" t="s">
        <v>117</v>
      </c>
      <c r="C165" s="20" t="s">
        <v>36</v>
      </c>
      <c r="D165" s="172">
        <f>D82</f>
        <v>0</v>
      </c>
      <c r="E165" s="24" t="s">
        <v>476</v>
      </c>
      <c r="G165" s="20" t="s">
        <v>100</v>
      </c>
      <c r="H165" s="36" t="s">
        <v>127</v>
      </c>
    </row>
    <row r="166" spans="1:11" ht="15.95" hidden="1" customHeight="1" x14ac:dyDescent="0.15">
      <c r="B166" s="100" t="s">
        <v>271</v>
      </c>
      <c r="C166" s="20" t="s">
        <v>36</v>
      </c>
      <c r="D166" s="172">
        <f>D165-D121</f>
        <v>0</v>
      </c>
      <c r="E166" s="24" t="s">
        <v>476</v>
      </c>
      <c r="F166" s="43"/>
      <c r="G166" s="20" t="s">
        <v>100</v>
      </c>
      <c r="H166" s="36" t="s">
        <v>128</v>
      </c>
      <c r="K166" s="36"/>
    </row>
    <row r="167" spans="1:11" ht="15.95" hidden="1" customHeight="1" x14ac:dyDescent="0.15">
      <c r="B167" s="78" t="s">
        <v>94</v>
      </c>
      <c r="C167" s="20" t="s">
        <v>36</v>
      </c>
      <c r="D167" s="172">
        <f>D75</f>
        <v>69637.021649999995</v>
      </c>
      <c r="E167" s="43" t="s">
        <v>457</v>
      </c>
      <c r="G167" s="20" t="s">
        <v>100</v>
      </c>
      <c r="H167" s="36" t="s">
        <v>95</v>
      </c>
    </row>
    <row r="168" spans="1:11" ht="15.95" hidden="1" customHeight="1" x14ac:dyDescent="0.15">
      <c r="B168" s="22" t="s">
        <v>405</v>
      </c>
      <c r="C168" s="20" t="s">
        <v>36</v>
      </c>
      <c r="D168" s="172">
        <f>D76</f>
        <v>3996849.4310645722</v>
      </c>
      <c r="E168" s="24" t="s">
        <v>475</v>
      </c>
      <c r="G168" s="20" t="s">
        <v>100</v>
      </c>
      <c r="H168" s="36" t="s">
        <v>406</v>
      </c>
    </row>
    <row r="169" spans="1:11" ht="15.95" hidden="1" customHeight="1" x14ac:dyDescent="0.15">
      <c r="B169" s="22"/>
      <c r="C169" s="20"/>
      <c r="D169" s="109"/>
      <c r="G169" s="20"/>
      <c r="H169" s="36"/>
    </row>
    <row r="170" spans="1:11" ht="15.95" hidden="1" customHeight="1" x14ac:dyDescent="0.15"/>
    <row r="171" spans="1:11" ht="15.95" hidden="1" customHeight="1" x14ac:dyDescent="0.15">
      <c r="A171" s="35"/>
      <c r="B171" s="24" t="s">
        <v>104</v>
      </c>
    </row>
    <row r="172" spans="1:11" ht="15.95" hidden="1" customHeight="1" x14ac:dyDescent="0.15"/>
    <row r="173" spans="1:11" ht="15.95" hidden="1" customHeight="1" x14ac:dyDescent="0.15">
      <c r="A173" s="24" t="s">
        <v>239</v>
      </c>
      <c r="B173" s="78" t="s">
        <v>105</v>
      </c>
      <c r="C173" s="20" t="s">
        <v>36</v>
      </c>
      <c r="D173" s="36" t="s">
        <v>253</v>
      </c>
      <c r="H173" s="78" t="s">
        <v>86</v>
      </c>
      <c r="I173" s="20" t="s">
        <v>36</v>
      </c>
      <c r="J173" s="99" t="s">
        <v>252</v>
      </c>
    </row>
    <row r="174" spans="1:11" ht="15.95" hidden="1" customHeight="1" x14ac:dyDescent="0.15">
      <c r="B174" s="78"/>
      <c r="C174" s="20" t="s">
        <v>36</v>
      </c>
      <c r="D174" s="172">
        <f>D166*D163/D162</f>
        <v>0</v>
      </c>
      <c r="E174" s="24" t="s">
        <v>476</v>
      </c>
      <c r="H174" s="49"/>
      <c r="I174" s="20" t="s">
        <v>36</v>
      </c>
      <c r="J174" s="172">
        <f>(D163+D162)/D162*D166</f>
        <v>0</v>
      </c>
      <c r="K174" s="24" t="s">
        <v>476</v>
      </c>
    </row>
    <row r="175" spans="1:11" ht="15.95" hidden="1" customHeight="1" x14ac:dyDescent="0.15"/>
    <row r="176" spans="1:11" ht="15.95" hidden="1" customHeight="1" x14ac:dyDescent="0.15">
      <c r="B176" s="78" t="s">
        <v>87</v>
      </c>
      <c r="C176" s="20" t="s">
        <v>36</v>
      </c>
      <c r="D176" s="36" t="s">
        <v>121</v>
      </c>
      <c r="H176" s="78" t="s">
        <v>119</v>
      </c>
      <c r="I176" s="20" t="s">
        <v>36</v>
      </c>
      <c r="J176" s="36" t="s">
        <v>122</v>
      </c>
    </row>
    <row r="177" spans="1:26" ht="15.95" hidden="1" customHeight="1" x14ac:dyDescent="0.15">
      <c r="C177" s="20" t="s">
        <v>36</v>
      </c>
      <c r="D177" s="172">
        <f>(D166*D163)</f>
        <v>0</v>
      </c>
      <c r="E177" s="43" t="s">
        <v>515</v>
      </c>
      <c r="I177" s="20" t="s">
        <v>36</v>
      </c>
      <c r="J177" s="172">
        <f>((D166*D163)*(D164/D162))</f>
        <v>0</v>
      </c>
      <c r="K177" s="43" t="s">
        <v>515</v>
      </c>
    </row>
    <row r="178" spans="1:26" ht="15.95" hidden="1" customHeight="1" x14ac:dyDescent="0.15"/>
    <row r="179" spans="1:26" ht="15.95" hidden="1" customHeight="1" x14ac:dyDescent="0.15">
      <c r="B179" s="78" t="s">
        <v>130</v>
      </c>
      <c r="C179" s="20" t="s">
        <v>36</v>
      </c>
      <c r="D179" s="97" t="s">
        <v>131</v>
      </c>
    </row>
    <row r="180" spans="1:26" ht="15.95" hidden="1" customHeight="1" x14ac:dyDescent="0.15">
      <c r="B180" s="68"/>
      <c r="C180" s="20" t="s">
        <v>36</v>
      </c>
      <c r="D180" s="34">
        <f>((D166*D163^2*(D162+D163))/(3*D167*D168))</f>
        <v>0</v>
      </c>
      <c r="E180" s="43" t="s">
        <v>478</v>
      </c>
    </row>
    <row r="181" spans="1:26" ht="15.95" hidden="1" customHeight="1" x14ac:dyDescent="0.15"/>
    <row r="182" spans="1:26" ht="15.95" hidden="1" customHeight="1" x14ac:dyDescent="0.15">
      <c r="B182" s="78" t="s">
        <v>129</v>
      </c>
      <c r="C182" s="20" t="s">
        <v>36</v>
      </c>
      <c r="D182" s="36" t="s">
        <v>123</v>
      </c>
    </row>
    <row r="183" spans="1:26" ht="15.95" hidden="1" customHeight="1" x14ac:dyDescent="0.15">
      <c r="B183" s="68"/>
      <c r="C183" s="20" t="s">
        <v>36</v>
      </c>
      <c r="D183" s="34">
        <f>(0.0642*D166*D163*D162^2/(D167*D168))</f>
        <v>0</v>
      </c>
      <c r="E183" s="43" t="s">
        <v>478</v>
      </c>
    </row>
    <row r="184" spans="1:26" ht="15.95" hidden="1" customHeight="1" x14ac:dyDescent="0.15"/>
    <row r="185" spans="1:26" ht="15.95" hidden="1" customHeight="1" x14ac:dyDescent="0.15">
      <c r="A185" s="43"/>
      <c r="B185" s="77" t="s">
        <v>144</v>
      </c>
      <c r="C185" s="43"/>
      <c r="D185" s="43"/>
      <c r="E185" s="43"/>
      <c r="F185" s="43"/>
      <c r="G185" s="43"/>
      <c r="H185" s="43"/>
      <c r="I185" s="43"/>
      <c r="J185" s="43"/>
      <c r="K185" s="43"/>
      <c r="L185" s="43"/>
      <c r="N185" s="45" t="s">
        <v>355</v>
      </c>
      <c r="O185" s="361">
        <f>G6</f>
        <v>5</v>
      </c>
      <c r="P185" s="46"/>
    </row>
    <row r="186" spans="1:26" s="47" customFormat="1" ht="15.95" hidden="1" customHeight="1" x14ac:dyDescent="0.15">
      <c r="J186" s="48"/>
      <c r="K186" s="37"/>
      <c r="L186" s="48"/>
      <c r="M186" s="48"/>
      <c r="N186" s="37"/>
      <c r="O186" s="37"/>
      <c r="P186" s="37"/>
      <c r="V186" s="52"/>
      <c r="X186" s="52"/>
      <c r="Z186" s="52"/>
    </row>
    <row r="187" spans="1:26" s="47" customFormat="1" ht="15.95" hidden="1" customHeight="1" x14ac:dyDescent="0.15">
      <c r="A187" s="24"/>
      <c r="B187" s="49" t="s">
        <v>289</v>
      </c>
      <c r="C187" s="49"/>
      <c r="G187" s="50" t="s">
        <v>290</v>
      </c>
      <c r="H187" s="101"/>
      <c r="I187" s="43"/>
      <c r="J187" s="102"/>
      <c r="K187" s="51"/>
      <c r="L187" s="24"/>
      <c r="M187" s="24"/>
      <c r="N187" s="52" t="s">
        <v>291</v>
      </c>
      <c r="O187" s="360">
        <v>14</v>
      </c>
      <c r="P187" s="24"/>
      <c r="S187" s="24"/>
      <c r="V187" s="52"/>
      <c r="X187" s="52"/>
      <c r="Z187" s="52"/>
    </row>
    <row r="188" spans="1:26" s="47" customFormat="1" ht="15.95" hidden="1" customHeight="1" x14ac:dyDescent="0.15">
      <c r="A188" s="24"/>
      <c r="B188" s="49"/>
      <c r="C188" s="24"/>
      <c r="D188" s="24"/>
      <c r="E188" s="24"/>
      <c r="G188" s="37"/>
      <c r="I188" s="24"/>
      <c r="J188" s="49"/>
      <c r="K188" s="38"/>
      <c r="L188" s="24"/>
      <c r="M188" s="38" t="s">
        <v>292</v>
      </c>
      <c r="N188" s="103">
        <v>5</v>
      </c>
      <c r="O188" s="103">
        <v>6</v>
      </c>
      <c r="Q188" s="702" t="s">
        <v>293</v>
      </c>
      <c r="R188" s="703"/>
      <c r="S188" s="704" t="s">
        <v>328</v>
      </c>
      <c r="T188" s="705"/>
      <c r="U188" s="706"/>
      <c r="V188" s="52"/>
      <c r="X188" s="52"/>
      <c r="Z188" s="52"/>
    </row>
    <row r="189" spans="1:26" s="47" customFormat="1" ht="15.95" hidden="1" customHeight="1" x14ac:dyDescent="0.15">
      <c r="A189" s="24"/>
      <c r="B189" s="36" t="s">
        <v>344</v>
      </c>
      <c r="C189" s="20" t="s">
        <v>4</v>
      </c>
      <c r="D189" s="176">
        <f>D12</f>
        <v>2600</v>
      </c>
      <c r="E189" s="29" t="s">
        <v>479</v>
      </c>
      <c r="F189" s="24"/>
      <c r="G189" s="36" t="s">
        <v>294</v>
      </c>
      <c r="H189" s="20" t="s">
        <v>295</v>
      </c>
      <c r="I189" s="155">
        <f>2*D189*D191/(SQRT(D190*D192))</f>
        <v>147.27259356576931</v>
      </c>
      <c r="K189" s="38"/>
      <c r="L189" s="24"/>
      <c r="M189" s="24"/>
      <c r="N189" s="53">
        <v>0</v>
      </c>
      <c r="O189" s="53">
        <v>0</v>
      </c>
      <c r="P189" s="37" t="s">
        <v>296</v>
      </c>
      <c r="Q189" s="54" t="s">
        <v>297</v>
      </c>
      <c r="R189" s="55" t="s">
        <v>298</v>
      </c>
      <c r="S189" s="55">
        <v>1</v>
      </c>
      <c r="T189" s="56">
        <f>IF(O185=5, N189, O189)</f>
        <v>0</v>
      </c>
      <c r="U189" s="55" t="str">
        <f>P189</f>
        <v>S  ≤  S₁</v>
      </c>
      <c r="V189" s="52"/>
      <c r="X189" s="52"/>
      <c r="Z189" s="52"/>
    </row>
    <row r="190" spans="1:26" s="47" customFormat="1" ht="15.95" hidden="1" customHeight="1" x14ac:dyDescent="0.15">
      <c r="A190" s="24"/>
      <c r="B190" s="36" t="s">
        <v>299</v>
      </c>
      <c r="C190" s="20" t="s">
        <v>4</v>
      </c>
      <c r="D190" s="176">
        <f>D41</f>
        <v>462398.66666666663</v>
      </c>
      <c r="E190" s="29" t="s">
        <v>480</v>
      </c>
      <c r="F190" s="24"/>
      <c r="G190" s="57" t="s">
        <v>300</v>
      </c>
      <c r="H190" s="38"/>
      <c r="I190" s="38"/>
      <c r="J190" s="52"/>
      <c r="K190" s="38"/>
      <c r="L190" s="24"/>
      <c r="M190" s="24"/>
      <c r="N190" s="58">
        <v>0</v>
      </c>
      <c r="O190" s="58">
        <v>0</v>
      </c>
      <c r="P190" s="37" t="s">
        <v>301</v>
      </c>
      <c r="Q190" s="59">
        <f>IF(O185=5, N190,O190)</f>
        <v>0</v>
      </c>
      <c r="R190" s="60">
        <f>IF(O185=5,N192,O192)</f>
        <v>3823</v>
      </c>
      <c r="S190" s="62">
        <v>2</v>
      </c>
      <c r="T190" s="61">
        <f>IF(O185=5, N191, O191)</f>
        <v>9.6505085589175899</v>
      </c>
      <c r="U190" s="62" t="str">
        <f>P191</f>
        <v>S₁&lt;  S  &lt; S₂</v>
      </c>
      <c r="V190" s="52"/>
      <c r="X190" s="52"/>
      <c r="Z190" s="52"/>
    </row>
    <row r="191" spans="1:26" s="47" customFormat="1" ht="15.95" hidden="1" customHeight="1" x14ac:dyDescent="0.15">
      <c r="B191" s="36" t="s">
        <v>134</v>
      </c>
      <c r="C191" s="20" t="s">
        <v>36</v>
      </c>
      <c r="D191" s="176">
        <f>D44</f>
        <v>19870.579852681814</v>
      </c>
      <c r="E191" s="29" t="s">
        <v>481</v>
      </c>
      <c r="G191" s="36" t="str">
        <f>U193</f>
        <v>S₁&lt;  S  &lt; S₂</v>
      </c>
      <c r="J191" s="24"/>
      <c r="K191" s="38"/>
      <c r="L191" s="24"/>
      <c r="M191" s="24"/>
      <c r="N191" s="58">
        <f>10.5-0.07*SQRT(I189)</f>
        <v>9.6505085589175899</v>
      </c>
      <c r="O191" s="58">
        <f>16.7-0.14*SQRT(I189)</f>
        <v>15.001017117835179</v>
      </c>
      <c r="P191" s="37" t="s">
        <v>302</v>
      </c>
      <c r="Q191" s="104" t="s">
        <v>303</v>
      </c>
      <c r="S191" s="60">
        <v>3</v>
      </c>
      <c r="T191" s="63">
        <f>IF(O185=5, N193, O193)</f>
        <v>160.24026893680735</v>
      </c>
      <c r="U191" s="60" t="str">
        <f>P193</f>
        <v>S  ≥  S₂</v>
      </c>
      <c r="V191" s="52"/>
      <c r="X191" s="52"/>
      <c r="Z191" s="52"/>
    </row>
    <row r="192" spans="1:26" s="47" customFormat="1" ht="15.95" hidden="1" customHeight="1" thickBot="1" x14ac:dyDescent="0.2">
      <c r="A192" s="24"/>
      <c r="B192" s="36" t="s">
        <v>304</v>
      </c>
      <c r="C192" s="20" t="s">
        <v>36</v>
      </c>
      <c r="D192" s="176">
        <f>D45</f>
        <v>1064553.0909090908</v>
      </c>
      <c r="E192" s="29" t="s">
        <v>480</v>
      </c>
      <c r="F192" s="38"/>
      <c r="H192" s="38"/>
      <c r="I192" s="24"/>
      <c r="J192" s="24"/>
      <c r="K192" s="24"/>
      <c r="L192" s="24"/>
      <c r="M192" s="24"/>
      <c r="N192" s="58">
        <v>3823</v>
      </c>
      <c r="O192" s="58">
        <v>2400</v>
      </c>
      <c r="P192" s="37" t="s">
        <v>306</v>
      </c>
      <c r="Q192" s="55" t="s">
        <v>307</v>
      </c>
      <c r="V192" s="52"/>
      <c r="X192" s="52"/>
      <c r="Z192" s="52"/>
    </row>
    <row r="193" spans="1:26" s="47" customFormat="1" ht="15.95" hidden="1" customHeight="1" thickBot="1" x14ac:dyDescent="0.2">
      <c r="A193" s="24"/>
      <c r="B193" s="36" t="s">
        <v>308</v>
      </c>
      <c r="C193" s="20" t="s">
        <v>36</v>
      </c>
      <c r="D193" s="24">
        <f>T193</f>
        <v>9.6505085589175899</v>
      </c>
      <c r="E193" s="29" t="s">
        <v>187</v>
      </c>
      <c r="F193" s="38"/>
      <c r="K193" s="24"/>
      <c r="L193" s="24"/>
      <c r="M193" s="24"/>
      <c r="N193" s="64">
        <f>23599/I189</f>
        <v>160.24026893680735</v>
      </c>
      <c r="O193" s="64">
        <f>23599/I189</f>
        <v>160.24026893680735</v>
      </c>
      <c r="P193" s="37" t="s">
        <v>309</v>
      </c>
      <c r="Q193" s="60">
        <f>I189</f>
        <v>147.27259356576931</v>
      </c>
      <c r="S193" s="105">
        <f>IF(Q193&lt;=Q190,1,IF(AND(Q193&gt;Q190,Q193&lt;R190),2,3))</f>
        <v>2</v>
      </c>
      <c r="T193" s="65">
        <f>VLOOKUP(S193, S189:T191, 2, FALSE)</f>
        <v>9.6505085589175899</v>
      </c>
      <c r="U193" s="66" t="str">
        <f>VLOOKUP(S193,S189:U191, 3, FALSE)</f>
        <v>S₁&lt;  S  &lt; S₂</v>
      </c>
      <c r="V193" s="52"/>
      <c r="X193" s="52"/>
      <c r="Z193" s="52"/>
    </row>
    <row r="194" spans="1:26" s="47" customFormat="1" ht="15.95" hidden="1" customHeight="1" x14ac:dyDescent="0.15">
      <c r="A194" s="24"/>
      <c r="C194" s="20" t="s">
        <v>36</v>
      </c>
      <c r="D194" s="29">
        <f>D193*6.894757</f>
        <v>66.537911440156961</v>
      </c>
      <c r="E194" s="29" t="s">
        <v>457</v>
      </c>
      <c r="F194" s="38"/>
      <c r="G194" s="38"/>
      <c r="H194" s="38"/>
      <c r="I194" s="24"/>
      <c r="J194" s="24"/>
      <c r="K194" s="24"/>
      <c r="L194" s="24"/>
      <c r="M194" s="24"/>
      <c r="V194" s="52"/>
      <c r="X194" s="52"/>
      <c r="Z194" s="52"/>
    </row>
    <row r="195" spans="1:26" s="47" customFormat="1" ht="15.95" hidden="1" customHeight="1" x14ac:dyDescent="0.15">
      <c r="A195" s="24"/>
      <c r="C195" s="20"/>
      <c r="D195" s="29"/>
      <c r="E195" s="29"/>
      <c r="F195" s="38"/>
      <c r="G195" s="38"/>
      <c r="H195" s="38"/>
      <c r="I195" s="24"/>
      <c r="J195" s="24"/>
      <c r="K195" s="24"/>
      <c r="L195" s="24"/>
      <c r="M195" s="24"/>
      <c r="V195" s="52"/>
      <c r="X195" s="52"/>
      <c r="Z195" s="52"/>
    </row>
    <row r="196" spans="1:26" s="47" customFormat="1" ht="15.95" hidden="1" customHeight="1" x14ac:dyDescent="0.15">
      <c r="A196" s="24"/>
      <c r="B196" s="49" t="s">
        <v>310</v>
      </c>
      <c r="C196" s="49"/>
      <c r="D196" s="156"/>
      <c r="E196" s="156"/>
      <c r="G196" s="50" t="s">
        <v>311</v>
      </c>
      <c r="H196" s="101"/>
      <c r="I196" s="38"/>
      <c r="J196" s="102"/>
      <c r="K196" s="24"/>
      <c r="L196" s="24"/>
      <c r="M196" s="24"/>
      <c r="N196" s="52" t="s">
        <v>291</v>
      </c>
      <c r="O196" s="360">
        <v>16</v>
      </c>
      <c r="P196" s="24"/>
      <c r="S196" s="24"/>
      <c r="V196" s="52"/>
      <c r="X196" s="52"/>
      <c r="Z196" s="52"/>
    </row>
    <row r="197" spans="1:26" s="47" customFormat="1" ht="15.95" hidden="1" customHeight="1" x14ac:dyDescent="0.15">
      <c r="A197" s="24"/>
      <c r="B197" s="49"/>
      <c r="C197" s="49"/>
      <c r="D197" s="156"/>
      <c r="E197" s="156"/>
      <c r="F197" s="49"/>
      <c r="G197" s="49"/>
      <c r="H197" s="49"/>
      <c r="I197" s="24"/>
      <c r="J197" s="49"/>
      <c r="K197" s="24"/>
      <c r="L197" s="24"/>
      <c r="M197" s="38" t="s">
        <v>292</v>
      </c>
      <c r="N197" s="103">
        <v>5</v>
      </c>
      <c r="O197" s="103">
        <v>6</v>
      </c>
      <c r="Q197" s="702" t="s">
        <v>293</v>
      </c>
      <c r="R197" s="703"/>
      <c r="S197" s="704" t="s">
        <v>328</v>
      </c>
      <c r="T197" s="705"/>
      <c r="U197" s="706"/>
      <c r="V197" s="52"/>
      <c r="X197" s="52"/>
      <c r="Z197" s="52"/>
    </row>
    <row r="198" spans="1:26" s="47" customFormat="1" ht="15.95" hidden="1" customHeight="1" x14ac:dyDescent="0.15">
      <c r="A198" s="24"/>
      <c r="B198" s="36" t="s">
        <v>77</v>
      </c>
      <c r="C198" s="20" t="s">
        <v>36</v>
      </c>
      <c r="D198" s="23">
        <f>R39</f>
        <v>56</v>
      </c>
      <c r="E198" s="29" t="s">
        <v>479</v>
      </c>
      <c r="F198" s="24"/>
      <c r="G198" s="36" t="str">
        <f>U202</f>
        <v>S₁&lt;  S  &lt; S₂</v>
      </c>
      <c r="K198" s="24"/>
      <c r="L198" s="24"/>
      <c r="M198" s="24"/>
      <c r="N198" s="53">
        <v>9.6999999999999993</v>
      </c>
      <c r="O198" s="53">
        <v>15.2</v>
      </c>
      <c r="P198" s="37" t="s">
        <v>296</v>
      </c>
      <c r="Q198" s="54" t="s">
        <v>297</v>
      </c>
      <c r="R198" s="55" t="s">
        <v>298</v>
      </c>
      <c r="S198" s="55">
        <v>1</v>
      </c>
      <c r="T198" s="56">
        <f>IF(O185=5, N198, O198)</f>
        <v>9.6999999999999993</v>
      </c>
      <c r="U198" s="55" t="str">
        <f>P198</f>
        <v>S  ≤  S₁</v>
      </c>
      <c r="V198" s="52"/>
      <c r="X198" s="52"/>
      <c r="Z198" s="52"/>
    </row>
    <row r="199" spans="1:26" s="47" customFormat="1" ht="15.95" hidden="1" customHeight="1" x14ac:dyDescent="0.15">
      <c r="A199" s="24"/>
      <c r="B199" s="36" t="s">
        <v>333</v>
      </c>
      <c r="C199" s="20" t="s">
        <v>36</v>
      </c>
      <c r="D199" s="23">
        <f>R41</f>
        <v>2</v>
      </c>
      <c r="E199" s="29" t="s">
        <v>479</v>
      </c>
      <c r="G199" s="24"/>
      <c r="H199" s="24"/>
      <c r="I199" s="24"/>
      <c r="J199" s="24"/>
      <c r="K199" s="24"/>
      <c r="L199" s="24"/>
      <c r="M199" s="24"/>
      <c r="N199" s="58">
        <v>25.6</v>
      </c>
      <c r="O199" s="58">
        <v>22.8</v>
      </c>
      <c r="P199" s="37" t="s">
        <v>301</v>
      </c>
      <c r="Q199" s="59">
        <f>IF(O185=5, N199,O199)</f>
        <v>25.6</v>
      </c>
      <c r="R199" s="60">
        <f>IF(O185=5,N201,O201)</f>
        <v>50</v>
      </c>
      <c r="S199" s="62">
        <v>2</v>
      </c>
      <c r="T199" s="61">
        <f>IF(O185=5, N200, O200)</f>
        <v>9.4760000000000009</v>
      </c>
      <c r="U199" s="62" t="str">
        <f>P200</f>
        <v>S₁&lt;  S  &lt; S₂</v>
      </c>
      <c r="V199" s="52"/>
      <c r="X199" s="52"/>
      <c r="Z199" s="52"/>
    </row>
    <row r="200" spans="1:26" s="47" customFormat="1" ht="15.95" hidden="1" customHeight="1" x14ac:dyDescent="0.15">
      <c r="A200" s="24"/>
      <c r="B200" s="36" t="s">
        <v>356</v>
      </c>
      <c r="C200" s="20" t="s">
        <v>36</v>
      </c>
      <c r="D200" s="23">
        <f>D198/D199</f>
        <v>28</v>
      </c>
      <c r="E200" s="29"/>
      <c r="F200" s="24"/>
      <c r="H200" s="24"/>
      <c r="I200" s="24"/>
      <c r="J200" s="24"/>
      <c r="K200" s="24"/>
      <c r="L200" s="24"/>
      <c r="M200" s="24"/>
      <c r="N200" s="58">
        <f>11.8-0.083*D200</f>
        <v>9.4760000000000009</v>
      </c>
      <c r="O200" s="58">
        <f>19-0.17*(D200)</f>
        <v>14.239999999999998</v>
      </c>
      <c r="P200" s="37" t="s">
        <v>302</v>
      </c>
      <c r="Q200" s="104" t="s">
        <v>303</v>
      </c>
      <c r="S200" s="60">
        <v>3</v>
      </c>
      <c r="T200" s="63">
        <f>IF(O185=5, N202, O202)</f>
        <v>13.642857142857142</v>
      </c>
      <c r="U200" s="60" t="str">
        <f>P202</f>
        <v>S  ≥  S₂</v>
      </c>
      <c r="V200" s="52"/>
      <c r="X200" s="52"/>
      <c r="Z200" s="52"/>
    </row>
    <row r="201" spans="1:26" s="47" customFormat="1" ht="15.95" hidden="1" customHeight="1" thickBot="1" x14ac:dyDescent="0.2">
      <c r="A201" s="24"/>
      <c r="B201" s="36" t="s">
        <v>319</v>
      </c>
      <c r="C201" s="20" t="s">
        <v>36</v>
      </c>
      <c r="D201" s="24">
        <f>T202</f>
        <v>9.4760000000000009</v>
      </c>
      <c r="E201" s="29" t="s">
        <v>187</v>
      </c>
      <c r="F201" s="24"/>
      <c r="G201" s="24"/>
      <c r="H201" s="24"/>
      <c r="I201" s="24"/>
      <c r="J201" s="24"/>
      <c r="K201" s="24"/>
      <c r="L201" s="24"/>
      <c r="M201" s="24"/>
      <c r="N201" s="58">
        <v>50</v>
      </c>
      <c r="O201" s="58">
        <v>39</v>
      </c>
      <c r="P201" s="37" t="s">
        <v>306</v>
      </c>
      <c r="Q201" s="55" t="s">
        <v>307</v>
      </c>
      <c r="V201" s="52"/>
      <c r="X201" s="52"/>
      <c r="Z201" s="52"/>
    </row>
    <row r="202" spans="1:26" s="47" customFormat="1" ht="15.95" hidden="1" customHeight="1" thickBot="1" x14ac:dyDescent="0.2">
      <c r="A202" s="24"/>
      <c r="B202" s="43"/>
      <c r="C202" s="20" t="s">
        <v>36</v>
      </c>
      <c r="D202" s="29">
        <f>D201*6.894757</f>
        <v>65.334717332000011</v>
      </c>
      <c r="E202" s="29" t="s">
        <v>457</v>
      </c>
      <c r="F202" s="24"/>
      <c r="G202" s="24"/>
      <c r="H202" s="24"/>
      <c r="I202" s="24"/>
      <c r="J202" s="24"/>
      <c r="K202" s="24"/>
      <c r="L202" s="24"/>
      <c r="M202" s="24"/>
      <c r="N202" s="64">
        <f>382/D200</f>
        <v>13.642857142857142</v>
      </c>
      <c r="O202" s="64">
        <f>484/D200</f>
        <v>17.285714285714285</v>
      </c>
      <c r="P202" s="37" t="s">
        <v>309</v>
      </c>
      <c r="Q202" s="60">
        <f>D200</f>
        <v>28</v>
      </c>
      <c r="S202" s="105">
        <f>IF(Q202&lt;=Q199,1,IF(AND(Q202&gt;Q199,Q202&lt;R199),2,3))</f>
        <v>2</v>
      </c>
      <c r="T202" s="65">
        <f>VLOOKUP(S202, S198:T200, 2, FALSE)</f>
        <v>9.4760000000000009</v>
      </c>
      <c r="U202" s="66" t="str">
        <f>VLOOKUP(S202,S198:U200, 3, FALSE)</f>
        <v>S₁&lt;  S  &lt; S₂</v>
      </c>
      <c r="V202" s="52"/>
      <c r="X202" s="52"/>
      <c r="Z202" s="52"/>
    </row>
    <row r="203" spans="1:26" s="47" customFormat="1" ht="15.95" hidden="1" customHeight="1" x14ac:dyDescent="0.15">
      <c r="A203" s="24"/>
      <c r="C203" s="20"/>
      <c r="D203" s="29"/>
      <c r="E203" s="29"/>
      <c r="F203" s="38"/>
      <c r="G203" s="38"/>
      <c r="H203" s="38"/>
      <c r="I203" s="24"/>
      <c r="J203" s="24"/>
      <c r="K203" s="24"/>
      <c r="L203" s="24"/>
      <c r="M203" s="24"/>
      <c r="V203" s="52"/>
      <c r="X203" s="52"/>
      <c r="Z203" s="52"/>
    </row>
    <row r="204" spans="1:26" s="47" customFormat="1" ht="15.95" hidden="1" customHeight="1" x14ac:dyDescent="0.15">
      <c r="A204" s="24"/>
      <c r="B204" s="49" t="s">
        <v>310</v>
      </c>
      <c r="C204" s="49"/>
      <c r="D204" s="156"/>
      <c r="E204" s="156"/>
      <c r="F204" s="49"/>
      <c r="G204" s="50" t="s">
        <v>324</v>
      </c>
      <c r="H204" s="101"/>
      <c r="I204" s="24"/>
      <c r="J204" s="49"/>
      <c r="K204" s="24"/>
      <c r="L204" s="24"/>
      <c r="M204" s="24"/>
      <c r="N204" s="52" t="s">
        <v>291</v>
      </c>
      <c r="O204" s="360">
        <v>18</v>
      </c>
      <c r="P204" s="24"/>
      <c r="S204" s="24"/>
      <c r="V204" s="52"/>
      <c r="X204" s="52"/>
      <c r="Z204" s="52"/>
    </row>
    <row r="205" spans="1:26" s="47" customFormat="1" ht="15.95" hidden="1" customHeight="1" x14ac:dyDescent="0.15">
      <c r="A205" s="24"/>
      <c r="B205" s="49"/>
      <c r="C205" s="49"/>
      <c r="D205" s="156"/>
      <c r="E205" s="156"/>
      <c r="F205" s="49"/>
      <c r="G205" s="49"/>
      <c r="H205" s="49"/>
      <c r="I205" s="24"/>
      <c r="J205" s="49"/>
      <c r="K205" s="24"/>
      <c r="L205" s="24"/>
      <c r="M205" s="38" t="s">
        <v>292</v>
      </c>
      <c r="N205" s="103">
        <v>5</v>
      </c>
      <c r="O205" s="103">
        <v>6</v>
      </c>
      <c r="Q205" s="702" t="s">
        <v>293</v>
      </c>
      <c r="R205" s="703"/>
      <c r="S205" s="704" t="s">
        <v>328</v>
      </c>
      <c r="T205" s="705"/>
      <c r="U205" s="706"/>
      <c r="V205" s="52"/>
      <c r="X205" s="52"/>
      <c r="Z205" s="52"/>
    </row>
    <row r="206" spans="1:26" s="47" customFormat="1" ht="15.95" hidden="1" customHeight="1" x14ac:dyDescent="0.15">
      <c r="A206" s="24"/>
      <c r="B206" s="36" t="s">
        <v>76</v>
      </c>
      <c r="C206" s="20" t="s">
        <v>36</v>
      </c>
      <c r="D206" s="23">
        <f>R40</f>
        <v>116</v>
      </c>
      <c r="E206" s="29" t="s">
        <v>479</v>
      </c>
      <c r="F206" s="24"/>
      <c r="G206" s="36" t="str">
        <f>U210</f>
        <v>S  ≤  S₁</v>
      </c>
      <c r="K206" s="24"/>
      <c r="L206" s="24"/>
      <c r="M206" s="24"/>
      <c r="N206" s="53">
        <v>12.6</v>
      </c>
      <c r="O206" s="53">
        <v>19.7</v>
      </c>
      <c r="P206" s="37" t="s">
        <v>296</v>
      </c>
      <c r="Q206" s="54" t="s">
        <v>297</v>
      </c>
      <c r="R206" s="55" t="s">
        <v>298</v>
      </c>
      <c r="S206" s="55">
        <v>1</v>
      </c>
      <c r="T206" s="56">
        <f>IF(O185=5, N206, O206)</f>
        <v>12.6</v>
      </c>
      <c r="U206" s="55" t="str">
        <f>P206</f>
        <v>S  ≤  S₁</v>
      </c>
      <c r="V206" s="52"/>
      <c r="X206" s="52"/>
      <c r="Z206" s="52"/>
    </row>
    <row r="207" spans="1:26" s="47" customFormat="1" ht="15.95" hidden="1" customHeight="1" x14ac:dyDescent="0.15">
      <c r="A207" s="24"/>
      <c r="B207" s="36" t="s">
        <v>333</v>
      </c>
      <c r="C207" s="20" t="s">
        <v>36</v>
      </c>
      <c r="D207" s="23">
        <f>R42</f>
        <v>2</v>
      </c>
      <c r="E207" s="29" t="s">
        <v>479</v>
      </c>
      <c r="F207" s="24"/>
      <c r="H207" s="24"/>
      <c r="I207" s="24"/>
      <c r="J207" s="24"/>
      <c r="K207" s="24"/>
      <c r="L207" s="24"/>
      <c r="M207" s="24"/>
      <c r="N207" s="58">
        <v>61</v>
      </c>
      <c r="O207" s="58">
        <v>54.9</v>
      </c>
      <c r="P207" s="37" t="s">
        <v>301</v>
      </c>
      <c r="Q207" s="59">
        <f>IF(O185=5, N207,O207)</f>
        <v>61</v>
      </c>
      <c r="R207" s="60">
        <f>IF(O185=5,N209,O209)</f>
        <v>115</v>
      </c>
      <c r="S207" s="62">
        <v>2</v>
      </c>
      <c r="T207" s="61">
        <f>IF(O185=5, N208, O208)</f>
        <v>12.808000000000002</v>
      </c>
      <c r="U207" s="62" t="str">
        <f>P208</f>
        <v>S₁&lt;  S  &lt; S₂</v>
      </c>
      <c r="V207" s="52"/>
      <c r="X207" s="52"/>
      <c r="Z207" s="52"/>
    </row>
    <row r="208" spans="1:26" s="47" customFormat="1" ht="15.95" hidden="1" customHeight="1" x14ac:dyDescent="0.15">
      <c r="A208" s="24"/>
      <c r="B208" s="36" t="s">
        <v>357</v>
      </c>
      <c r="C208" s="20" t="s">
        <v>36</v>
      </c>
      <c r="D208" s="23">
        <f>D206/D207</f>
        <v>58</v>
      </c>
      <c r="E208" s="29"/>
      <c r="F208" s="24"/>
      <c r="H208" s="24"/>
      <c r="I208" s="24"/>
      <c r="J208" s="24"/>
      <c r="K208" s="24"/>
      <c r="L208" s="24"/>
      <c r="M208" s="24"/>
      <c r="N208" s="58">
        <f>17.1-0.074*D208</f>
        <v>12.808000000000002</v>
      </c>
      <c r="O208" s="58">
        <f>27.9-0.15*(D208)</f>
        <v>19.2</v>
      </c>
      <c r="P208" s="37" t="s">
        <v>302</v>
      </c>
      <c r="Q208" s="104" t="s">
        <v>303</v>
      </c>
      <c r="S208" s="60">
        <v>3</v>
      </c>
      <c r="T208" s="63">
        <f>IF(O185=5, N210, O210)</f>
        <v>17</v>
      </c>
      <c r="U208" s="60" t="str">
        <f>P210</f>
        <v>S  ≥  S₂</v>
      </c>
      <c r="V208" s="52"/>
      <c r="X208" s="52"/>
      <c r="Z208" s="52"/>
    </row>
    <row r="209" spans="1:26" s="47" customFormat="1" ht="15.95" hidden="1" customHeight="1" thickBot="1" x14ac:dyDescent="0.2">
      <c r="A209" s="24"/>
      <c r="B209" s="36" t="s">
        <v>335</v>
      </c>
      <c r="C209" s="20" t="s">
        <v>36</v>
      </c>
      <c r="D209" s="24">
        <f>T210</f>
        <v>12.6</v>
      </c>
      <c r="E209" s="29" t="s">
        <v>187</v>
      </c>
      <c r="F209" s="24"/>
      <c r="G209" s="24"/>
      <c r="H209" s="24"/>
      <c r="I209" s="24"/>
      <c r="J209" s="24"/>
      <c r="K209" s="24"/>
      <c r="L209" s="24"/>
      <c r="M209" s="24"/>
      <c r="N209" s="58">
        <v>115</v>
      </c>
      <c r="O209" s="58">
        <v>93</v>
      </c>
      <c r="P209" s="37" t="s">
        <v>306</v>
      </c>
      <c r="Q209" s="55" t="s">
        <v>307</v>
      </c>
      <c r="V209" s="52"/>
      <c r="X209" s="52"/>
      <c r="Z209" s="52"/>
    </row>
    <row r="210" spans="1:26" s="47" customFormat="1" ht="15.95" hidden="1" customHeight="1" thickBot="1" x14ac:dyDescent="0.2">
      <c r="A210" s="24"/>
      <c r="B210" s="38"/>
      <c r="C210" s="20" t="s">
        <v>36</v>
      </c>
      <c r="D210" s="29">
        <f>D209*6.894757</f>
        <v>86.873938199999998</v>
      </c>
      <c r="E210" s="29" t="s">
        <v>457</v>
      </c>
      <c r="F210" s="24"/>
      <c r="G210" s="24"/>
      <c r="H210" s="24"/>
      <c r="I210" s="24"/>
      <c r="J210" s="24"/>
      <c r="K210" s="24"/>
      <c r="L210" s="24"/>
      <c r="M210" s="24"/>
      <c r="N210" s="64">
        <f>986/D208</f>
        <v>17</v>
      </c>
      <c r="O210" s="64">
        <f>1298/D208</f>
        <v>22.379310344827587</v>
      </c>
      <c r="P210" s="37" t="s">
        <v>309</v>
      </c>
      <c r="Q210" s="60">
        <f>D208</f>
        <v>58</v>
      </c>
      <c r="S210" s="105">
        <f>IF(Q210&lt;=Q207,1,IF(AND(Q210&gt;Q207,Q210&lt;=R207),2,3))</f>
        <v>1</v>
      </c>
      <c r="T210" s="65">
        <f>VLOOKUP(S210, S206:T208, 2, FALSE)</f>
        <v>12.6</v>
      </c>
      <c r="U210" s="66" t="str">
        <f>VLOOKUP(S210,S206:U208, 3, FALSE)</f>
        <v>S  ≤  S₁</v>
      </c>
      <c r="V210" s="52"/>
      <c r="X210" s="52"/>
      <c r="Z210" s="52"/>
    </row>
    <row r="211" spans="1:26" s="47" customFormat="1" ht="15.95" hidden="1" customHeight="1" x14ac:dyDescent="0.15">
      <c r="A211" s="24"/>
      <c r="B211" s="24"/>
      <c r="C211" s="24"/>
      <c r="D211" s="29"/>
      <c r="E211" s="29"/>
      <c r="F211" s="24"/>
      <c r="G211" s="24"/>
      <c r="H211" s="24"/>
      <c r="I211" s="24"/>
      <c r="J211" s="24"/>
      <c r="K211" s="24"/>
      <c r="L211" s="24"/>
      <c r="M211" s="24"/>
      <c r="N211" s="37"/>
      <c r="V211" s="52"/>
      <c r="X211" s="52"/>
      <c r="Z211" s="52"/>
    </row>
    <row r="212" spans="1:26" s="47" customFormat="1" ht="15.95" hidden="1" customHeight="1" x14ac:dyDescent="0.15">
      <c r="A212" s="24"/>
      <c r="B212" s="35" t="s">
        <v>336</v>
      </c>
      <c r="C212" s="24"/>
      <c r="D212" s="29"/>
      <c r="E212" s="19" t="s">
        <v>337</v>
      </c>
      <c r="F212" s="24" t="s">
        <v>338</v>
      </c>
      <c r="G212" s="24"/>
      <c r="H212" s="24"/>
      <c r="I212" s="24"/>
      <c r="J212" s="24"/>
      <c r="K212" s="24"/>
      <c r="L212" s="24"/>
      <c r="M212" s="24"/>
      <c r="N212" s="37"/>
      <c r="V212" s="52"/>
      <c r="X212" s="52"/>
      <c r="Z212" s="52"/>
    </row>
    <row r="213" spans="1:26" s="47" customFormat="1" ht="15.95" hidden="1" customHeight="1" x14ac:dyDescent="0.15">
      <c r="A213" s="24"/>
      <c r="B213" s="35"/>
      <c r="C213" s="24"/>
      <c r="D213" s="29"/>
      <c r="E213" s="29"/>
      <c r="F213" s="24"/>
      <c r="G213" s="24"/>
      <c r="H213" s="24"/>
      <c r="I213" s="24"/>
      <c r="J213" s="24"/>
      <c r="K213" s="24"/>
      <c r="L213" s="24"/>
      <c r="M213" s="24"/>
      <c r="N213" s="37"/>
      <c r="V213" s="52"/>
      <c r="X213" s="52"/>
      <c r="Z213" s="52"/>
    </row>
    <row r="214" spans="1:26" s="47" customFormat="1" ht="15.95" hidden="1" customHeight="1" x14ac:dyDescent="0.15">
      <c r="A214" s="24"/>
      <c r="B214" s="36" t="s">
        <v>135</v>
      </c>
      <c r="C214" s="20" t="s">
        <v>36</v>
      </c>
      <c r="D214" s="695" t="s">
        <v>1045</v>
      </c>
      <c r="E214" s="695"/>
      <c r="F214" s="24"/>
      <c r="G214" s="24"/>
      <c r="H214" s="24"/>
      <c r="I214" s="24"/>
      <c r="J214" s="24"/>
      <c r="K214" s="24"/>
      <c r="L214" s="24"/>
      <c r="M214" s="24"/>
      <c r="N214" s="37"/>
      <c r="V214" s="52"/>
      <c r="X214" s="52"/>
      <c r="Z214" s="52"/>
    </row>
    <row r="215" spans="1:26" s="47" customFormat="1" ht="15.95" hidden="1" customHeight="1" x14ac:dyDescent="0.15">
      <c r="A215" s="24"/>
      <c r="B215" s="38"/>
      <c r="C215" s="20" t="s">
        <v>36</v>
      </c>
      <c r="D215" s="23">
        <f>(D14*J43)/D44</f>
        <v>0</v>
      </c>
      <c r="E215" s="29" t="s">
        <v>457</v>
      </c>
      <c r="F215" s="24"/>
      <c r="G215" s="24"/>
      <c r="H215" s="24"/>
      <c r="I215" s="24"/>
      <c r="J215" s="24"/>
      <c r="K215" s="24"/>
      <c r="L215" s="24"/>
      <c r="M215" s="24"/>
      <c r="N215" s="24"/>
      <c r="O215" s="24"/>
      <c r="P215" s="24"/>
      <c r="Q215" s="24"/>
      <c r="V215" s="52"/>
      <c r="X215" s="52"/>
      <c r="Z215" s="52"/>
    </row>
    <row r="216" spans="1:26" s="47" customFormat="1" ht="15.95" hidden="1" customHeight="1" x14ac:dyDescent="0.15">
      <c r="A216" s="24"/>
      <c r="B216" s="36" t="s">
        <v>139</v>
      </c>
      <c r="C216" s="20" t="s">
        <v>36</v>
      </c>
      <c r="D216" s="22" t="s">
        <v>341</v>
      </c>
      <c r="E216" s="157"/>
      <c r="F216" s="36"/>
      <c r="H216" s="24"/>
      <c r="I216" s="24"/>
      <c r="J216" s="24"/>
      <c r="K216" s="24"/>
      <c r="L216" s="24"/>
      <c r="M216" s="24"/>
      <c r="N216" s="24"/>
      <c r="O216" s="24"/>
      <c r="P216" s="24"/>
      <c r="Q216" s="24"/>
      <c r="V216" s="52"/>
      <c r="X216" s="52"/>
      <c r="Z216" s="52"/>
    </row>
    <row r="217" spans="1:26" s="47" customFormat="1" ht="15.95" hidden="1" customHeight="1" x14ac:dyDescent="0.15">
      <c r="A217" s="24"/>
      <c r="B217" s="43"/>
      <c r="C217" s="20" t="s">
        <v>36</v>
      </c>
      <c r="D217" s="67">
        <f>MIN(D194,D202,D210)</f>
        <v>65.334717332000011</v>
      </c>
      <c r="E217" s="29" t="s">
        <v>457</v>
      </c>
      <c r="F217" s="24"/>
      <c r="G217" s="38"/>
      <c r="H217" s="43"/>
      <c r="I217" s="38"/>
      <c r="J217" s="24"/>
      <c r="K217" s="24"/>
      <c r="L217" s="24"/>
      <c r="M217" s="24"/>
      <c r="N217" s="24"/>
      <c r="O217" s="24"/>
      <c r="P217" s="24"/>
      <c r="Q217" s="24"/>
      <c r="V217" s="52"/>
      <c r="X217" s="52"/>
      <c r="Z217" s="52"/>
    </row>
    <row r="218" spans="1:26" s="47" customFormat="1" ht="15.95" hidden="1" customHeight="1" x14ac:dyDescent="0.15">
      <c r="A218" s="24"/>
      <c r="C218" s="20"/>
      <c r="F218" s="24"/>
      <c r="G218" s="24"/>
      <c r="H218" s="24"/>
      <c r="I218" s="24"/>
      <c r="J218" s="24"/>
      <c r="K218" s="24"/>
      <c r="L218" s="24"/>
      <c r="M218" s="24"/>
      <c r="N218" s="24"/>
      <c r="O218" s="24"/>
      <c r="P218" s="24"/>
      <c r="Q218" s="24"/>
      <c r="V218" s="52"/>
      <c r="X218" s="52"/>
      <c r="Z218" s="52"/>
    </row>
    <row r="219" spans="1:26" ht="15.95" hidden="1" customHeight="1" x14ac:dyDescent="0.15"/>
    <row r="220" spans="1:26" ht="15.95" hidden="1" customHeight="1" x14ac:dyDescent="0.15">
      <c r="B220" s="35" t="s">
        <v>142</v>
      </c>
    </row>
    <row r="221" spans="1:26" ht="15.95" hidden="1" customHeight="1" x14ac:dyDescent="0.15"/>
    <row r="222" spans="1:26" ht="15.95" hidden="1" customHeight="1" x14ac:dyDescent="0.15">
      <c r="B222" s="36" t="s">
        <v>358</v>
      </c>
      <c r="C222" s="20" t="s">
        <v>36</v>
      </c>
      <c r="D222" s="38">
        <f>D215/D217</f>
        <v>0</v>
      </c>
      <c r="E222" s="39" t="str">
        <f>IF(D222&gt;F222,"&gt;","&lt;")</f>
        <v>&lt;</v>
      </c>
      <c r="F222" s="19">
        <v>1</v>
      </c>
      <c r="G222" s="107" t="str">
        <f>IF(D222&lt;F222,"O.K.","N.G.")</f>
        <v>O.K.</v>
      </c>
    </row>
    <row r="223" spans="1:26" ht="15.95" hidden="1" customHeight="1" x14ac:dyDescent="0.15">
      <c r="B223" s="68"/>
      <c r="D223" s="43"/>
    </row>
    <row r="224" spans="1:26" ht="15.95" hidden="1" customHeight="1" x14ac:dyDescent="0.15">
      <c r="A224" s="43"/>
      <c r="B224" s="43"/>
      <c r="C224" s="43"/>
      <c r="D224" s="43"/>
      <c r="E224" s="43"/>
      <c r="F224" s="49"/>
      <c r="G224" s="43"/>
      <c r="H224" s="43"/>
      <c r="I224" s="43"/>
      <c r="J224" s="43"/>
      <c r="K224" s="43"/>
      <c r="L224" s="43"/>
    </row>
    <row r="225" spans="1:26" ht="15.95" hidden="1" customHeight="1" x14ac:dyDescent="0.15">
      <c r="A225" s="43"/>
      <c r="B225" s="43"/>
      <c r="C225" s="43"/>
      <c r="D225" s="43"/>
      <c r="E225" s="43"/>
      <c r="F225" s="43"/>
      <c r="G225" s="43"/>
      <c r="H225" s="43"/>
      <c r="I225" s="43"/>
      <c r="J225" s="43"/>
      <c r="K225" s="43"/>
      <c r="L225" s="43"/>
      <c r="M225" s="43"/>
      <c r="N225" s="20"/>
    </row>
    <row r="226" spans="1:26" ht="15.95" hidden="1" customHeight="1" x14ac:dyDescent="0.15">
      <c r="A226" s="43"/>
      <c r="B226" s="43"/>
      <c r="C226" s="43"/>
      <c r="D226" s="43"/>
      <c r="E226" s="43"/>
      <c r="F226" s="43"/>
      <c r="G226" s="43"/>
      <c r="H226" s="43"/>
      <c r="I226" s="43"/>
      <c r="J226" s="43"/>
      <c r="K226" s="43"/>
      <c r="L226" s="43"/>
      <c r="M226" s="43"/>
      <c r="N226" s="20"/>
    </row>
    <row r="227" spans="1:26" ht="15.95" hidden="1" customHeight="1" x14ac:dyDescent="0.15">
      <c r="B227" s="49"/>
      <c r="D227" s="43"/>
    </row>
    <row r="228" spans="1:26" ht="15.95" hidden="1" customHeight="1" x14ac:dyDescent="0.15">
      <c r="B228" s="49"/>
      <c r="D228" s="43"/>
    </row>
    <row r="229" spans="1:26" ht="15.95" hidden="1" customHeight="1" x14ac:dyDescent="0.15">
      <c r="B229" s="49"/>
      <c r="D229" s="43"/>
    </row>
    <row r="230" spans="1:26" ht="15.95" hidden="1" customHeight="1" x14ac:dyDescent="0.15">
      <c r="B230" s="49"/>
      <c r="D230" s="43"/>
    </row>
    <row r="231" spans="1:26" ht="15.95" hidden="1" customHeight="1" x14ac:dyDescent="0.15">
      <c r="B231" s="77" t="s">
        <v>144</v>
      </c>
      <c r="V231" s="24"/>
      <c r="X231" s="24"/>
      <c r="Z231" s="24"/>
    </row>
    <row r="232" spans="1:26" ht="15.95" hidden="1" customHeight="1" x14ac:dyDescent="0.15">
      <c r="B232" s="49"/>
      <c r="D232" s="43"/>
      <c r="V232" s="24"/>
      <c r="X232" s="24"/>
      <c r="Z232" s="24"/>
    </row>
    <row r="233" spans="1:26" s="12" customFormat="1" ht="15.95" hidden="1" customHeight="1" x14ac:dyDescent="0.15">
      <c r="A233" s="19"/>
      <c r="B233" s="43" t="s">
        <v>409</v>
      </c>
      <c r="C233" s="19"/>
      <c r="D233" s="19"/>
      <c r="E233" s="19"/>
      <c r="F233" s="19"/>
      <c r="G233" s="19"/>
      <c r="H233" s="19"/>
      <c r="I233" s="19"/>
      <c r="J233" s="19"/>
      <c r="K233" s="19"/>
      <c r="L233" s="19"/>
      <c r="M233" s="19"/>
      <c r="N233" s="37"/>
      <c r="O233" s="37"/>
      <c r="P233" s="46"/>
    </row>
    <row r="234" spans="1:26" ht="15.95" hidden="1" customHeight="1" x14ac:dyDescent="0.15">
      <c r="B234" s="77"/>
      <c r="D234" s="38"/>
      <c r="O234" s="118"/>
      <c r="Q234" s="118"/>
      <c r="S234" s="118"/>
      <c r="U234" s="118">
        <v>2.2999999999999998</v>
      </c>
      <c r="V234" s="24"/>
      <c r="X234" s="24"/>
      <c r="Z234" s="24"/>
    </row>
    <row r="235" spans="1:26" ht="15.95" hidden="1" customHeight="1" x14ac:dyDescent="0.15">
      <c r="B235" s="36" t="s">
        <v>410</v>
      </c>
      <c r="C235" s="20" t="s">
        <v>4</v>
      </c>
      <c r="D235" s="172">
        <f>(D14*J44)</f>
        <v>0</v>
      </c>
      <c r="E235" s="43" t="s">
        <v>459</v>
      </c>
      <c r="G235" s="20" t="s">
        <v>9</v>
      </c>
      <c r="H235" s="36" t="s">
        <v>137</v>
      </c>
      <c r="V235" s="24"/>
      <c r="X235" s="24"/>
      <c r="Z235" s="24"/>
    </row>
    <row r="236" spans="1:26" ht="15.95" hidden="1" customHeight="1" x14ac:dyDescent="0.15">
      <c r="B236" s="35"/>
      <c r="V236" s="24"/>
      <c r="X236" s="24"/>
      <c r="Z236" s="24"/>
    </row>
    <row r="237" spans="1:26" ht="15.95" hidden="1" customHeight="1" x14ac:dyDescent="0.15">
      <c r="B237" s="36" t="s">
        <v>134</v>
      </c>
      <c r="C237" s="20" t="s">
        <v>4</v>
      </c>
      <c r="D237" s="172">
        <f>F44</f>
        <v>15503.573333333332</v>
      </c>
      <c r="E237" s="24" t="s">
        <v>481</v>
      </c>
      <c r="G237" s="20" t="s">
        <v>9</v>
      </c>
      <c r="H237" s="36" t="s">
        <v>138</v>
      </c>
      <c r="V237" s="24"/>
      <c r="X237" s="24"/>
      <c r="Z237" s="24"/>
    </row>
    <row r="238" spans="1:26" ht="15.95" hidden="1" customHeight="1" x14ac:dyDescent="0.15">
      <c r="V238" s="24"/>
      <c r="X238" s="24"/>
      <c r="Z238" s="24"/>
    </row>
    <row r="239" spans="1:26" ht="15.95" hidden="1" customHeight="1" x14ac:dyDescent="0.15">
      <c r="C239" s="20"/>
      <c r="V239" s="24"/>
      <c r="X239" s="24"/>
      <c r="Z239" s="24"/>
    </row>
    <row r="240" spans="1:26" ht="15.95" hidden="1" customHeight="1" x14ac:dyDescent="0.15">
      <c r="B240" s="35" t="s">
        <v>132</v>
      </c>
      <c r="D240" s="28"/>
      <c r="V240" s="24"/>
      <c r="X240" s="24"/>
      <c r="Z240" s="24"/>
    </row>
    <row r="241" spans="2:26" ht="15.95" hidden="1" customHeight="1" x14ac:dyDescent="0.15">
      <c r="V241" s="24"/>
      <c r="X241" s="24"/>
      <c r="Z241" s="24"/>
    </row>
    <row r="242" spans="2:26" ht="15.95" hidden="1" customHeight="1" x14ac:dyDescent="0.15">
      <c r="B242" s="36" t="s">
        <v>411</v>
      </c>
      <c r="C242" s="20" t="s">
        <v>4</v>
      </c>
      <c r="D242" s="36" t="s">
        <v>1045</v>
      </c>
      <c r="V242" s="24"/>
      <c r="X242" s="24"/>
      <c r="Z242" s="24"/>
    </row>
    <row r="243" spans="2:26" ht="15.95" hidden="1" customHeight="1" x14ac:dyDescent="0.15">
      <c r="C243" s="20" t="s">
        <v>4</v>
      </c>
      <c r="D243" s="29">
        <f>(D235/D237)</f>
        <v>0</v>
      </c>
      <c r="E243" s="29" t="s">
        <v>457</v>
      </c>
      <c r="V243" s="24"/>
      <c r="X243" s="24"/>
      <c r="Z243" s="24"/>
    </row>
    <row r="244" spans="2:26" ht="15.95" hidden="1" customHeight="1" x14ac:dyDescent="0.15">
      <c r="V244" s="24"/>
      <c r="X244" s="24"/>
      <c r="Z244" s="24"/>
    </row>
    <row r="245" spans="2:26" ht="15.95" hidden="1" customHeight="1" x14ac:dyDescent="0.15">
      <c r="V245" s="24"/>
      <c r="X245" s="24"/>
      <c r="Z245" s="24"/>
    </row>
    <row r="246" spans="2:26" ht="15.95" hidden="1" customHeight="1" x14ac:dyDescent="0.15">
      <c r="B246" s="35" t="s">
        <v>133</v>
      </c>
      <c r="V246" s="24"/>
      <c r="X246" s="24"/>
      <c r="Z246" s="24"/>
    </row>
    <row r="247" spans="2:26" ht="15.95" hidden="1" customHeight="1" x14ac:dyDescent="0.15">
      <c r="B247" s="35"/>
      <c r="G247" s="20"/>
      <c r="H247" s="36"/>
      <c r="V247" s="24"/>
      <c r="X247" s="24"/>
      <c r="Z247" s="24"/>
    </row>
    <row r="248" spans="2:26" ht="15.95" hidden="1" customHeight="1" x14ac:dyDescent="0.15">
      <c r="B248" s="36" t="s">
        <v>140</v>
      </c>
      <c r="C248" s="20" t="s">
        <v>4</v>
      </c>
      <c r="D248" s="29">
        <v>275</v>
      </c>
      <c r="E248" s="29" t="s">
        <v>457</v>
      </c>
      <c r="G248" s="20" t="s">
        <v>9</v>
      </c>
      <c r="H248" s="36" t="s">
        <v>649</v>
      </c>
      <c r="V248" s="24"/>
      <c r="X248" s="24"/>
      <c r="Z248" s="24"/>
    </row>
    <row r="249" spans="2:26" ht="15.95" hidden="1" customHeight="1" x14ac:dyDescent="0.15">
      <c r="B249" s="36" t="s">
        <v>319</v>
      </c>
      <c r="C249" s="20" t="s">
        <v>4</v>
      </c>
      <c r="D249" s="80" t="s">
        <v>650</v>
      </c>
      <c r="E249" s="36"/>
      <c r="V249" s="24"/>
      <c r="X249" s="24"/>
      <c r="Z249" s="24"/>
    </row>
    <row r="250" spans="2:26" ht="15.95" hidden="1" customHeight="1" x14ac:dyDescent="0.15">
      <c r="B250" s="38"/>
      <c r="C250" s="20" t="s">
        <v>4</v>
      </c>
      <c r="D250" s="29">
        <f>0.66*D248</f>
        <v>181.5</v>
      </c>
      <c r="E250" s="29" t="s">
        <v>457</v>
      </c>
      <c r="V250" s="24"/>
      <c r="X250" s="24"/>
      <c r="Z250" s="24"/>
    </row>
    <row r="251" spans="2:26" ht="15.95" hidden="1" customHeight="1" x14ac:dyDescent="0.15">
      <c r="V251" s="24"/>
      <c r="X251" s="24"/>
      <c r="Z251" s="24"/>
    </row>
    <row r="252" spans="2:26" ht="15.95" hidden="1" customHeight="1" x14ac:dyDescent="0.15">
      <c r="V252" s="24"/>
      <c r="X252" s="24"/>
      <c r="Z252" s="24"/>
    </row>
    <row r="253" spans="2:26" ht="15.95" hidden="1" customHeight="1" x14ac:dyDescent="0.15">
      <c r="B253" s="35" t="s">
        <v>142</v>
      </c>
      <c r="V253" s="24"/>
      <c r="X253" s="24"/>
      <c r="Z253" s="24"/>
    </row>
    <row r="254" spans="2:26" ht="15.95" hidden="1" customHeight="1" x14ac:dyDescent="0.15">
      <c r="B254" s="35"/>
      <c r="V254" s="24"/>
      <c r="X254" s="24"/>
      <c r="Z254" s="24"/>
    </row>
    <row r="255" spans="2:26" ht="15.95" hidden="1" customHeight="1" x14ac:dyDescent="0.15">
      <c r="B255" s="36" t="s">
        <v>143</v>
      </c>
      <c r="C255" s="20" t="s">
        <v>4</v>
      </c>
      <c r="D255" s="38">
        <f>D243/D250</f>
        <v>0</v>
      </c>
      <c r="E255" s="39" t="str">
        <f>IF(D255&gt;F255,"&gt;","&lt;")</f>
        <v>&lt;</v>
      </c>
      <c r="F255" s="19">
        <v>1</v>
      </c>
      <c r="G255" s="107" t="str">
        <f>IF(D255&lt;F255,"O.K.","N.G.")</f>
        <v>O.K.</v>
      </c>
      <c r="V255" s="24"/>
      <c r="X255" s="24"/>
      <c r="Z255" s="24"/>
    </row>
    <row r="256" spans="2:26" ht="15.95" hidden="1" customHeight="1" x14ac:dyDescent="0.15">
      <c r="C256" s="119"/>
      <c r="D256" s="28"/>
      <c r="F256" s="28"/>
      <c r="V256" s="24"/>
      <c r="X256" s="24"/>
      <c r="Z256" s="24"/>
    </row>
    <row r="257" spans="2:26" ht="15.95" hidden="1" customHeight="1" x14ac:dyDescent="0.15">
      <c r="C257" s="119"/>
      <c r="D257" s="28"/>
      <c r="F257" s="28"/>
      <c r="V257" s="24"/>
      <c r="X257" s="24"/>
      <c r="Z257" s="24"/>
    </row>
    <row r="258" spans="2:26" ht="15.95" hidden="1" customHeight="1" x14ac:dyDescent="0.15">
      <c r="B258" s="40" t="s">
        <v>145</v>
      </c>
    </row>
    <row r="259" spans="2:26" ht="15.95" hidden="1" customHeight="1" x14ac:dyDescent="0.15"/>
    <row r="260" spans="2:26" ht="15.95" hidden="1" customHeight="1" x14ac:dyDescent="0.15">
      <c r="B260" s="35" t="s">
        <v>147</v>
      </c>
    </row>
    <row r="261" spans="2:26" ht="15.95" hidden="1" customHeight="1" x14ac:dyDescent="0.15">
      <c r="B261" s="35"/>
    </row>
    <row r="262" spans="2:26" ht="15.95" hidden="1" customHeight="1" x14ac:dyDescent="0.15">
      <c r="B262" s="78" t="s">
        <v>120</v>
      </c>
      <c r="C262" s="20" t="s">
        <v>4</v>
      </c>
      <c r="D262" s="24">
        <f>D16</f>
        <v>0</v>
      </c>
      <c r="E262" s="29" t="s">
        <v>479</v>
      </c>
    </row>
    <row r="263" spans="2:26" ht="15.95" hidden="1" customHeight="1" x14ac:dyDescent="0.15"/>
    <row r="264" spans="2:26" ht="15.95" hidden="1" customHeight="1" x14ac:dyDescent="0.15"/>
    <row r="265" spans="2:26" ht="15.95" hidden="1" customHeight="1" x14ac:dyDescent="0.15">
      <c r="B265" s="35" t="s">
        <v>146</v>
      </c>
      <c r="E265" s="42" t="s">
        <v>150</v>
      </c>
    </row>
    <row r="266" spans="2:26" ht="15.95" hidden="1" customHeight="1" x14ac:dyDescent="0.15">
      <c r="B266" s="35"/>
    </row>
    <row r="267" spans="2:26" ht="15.95" hidden="1" customHeight="1" x14ac:dyDescent="0.15">
      <c r="B267" s="78" t="s">
        <v>93</v>
      </c>
      <c r="C267" s="20" t="s">
        <v>4</v>
      </c>
      <c r="D267" s="167">
        <f>D9</f>
        <v>5000</v>
      </c>
      <c r="E267" s="24" t="str">
        <f>IF(D267&gt;4110,"mm      &gt;     4110 mm","mm     ≤     4110 mm")</f>
        <v>mm      &gt;     4110 mm</v>
      </c>
      <c r="M267" s="43" t="s">
        <v>151</v>
      </c>
      <c r="N267" s="41">
        <f>D267/240+6.35</f>
        <v>27.18333333333333</v>
      </c>
    </row>
    <row r="268" spans="2:26" ht="15.95" hidden="1" customHeight="1" x14ac:dyDescent="0.15">
      <c r="B268" s="78" t="s">
        <v>148</v>
      </c>
      <c r="C268" s="20" t="s">
        <v>4</v>
      </c>
      <c r="D268" s="177">
        <f>D267</f>
        <v>5000</v>
      </c>
      <c r="E268" s="35" t="str">
        <f>IF(D267&lt;4110,"mm      /     175","mm      /      240 + 6.35 mm ")</f>
        <v xml:space="preserve">mm      /      240 + 6.35 mm </v>
      </c>
      <c r="M268" s="43" t="s">
        <v>152</v>
      </c>
      <c r="N268" s="41">
        <f>D267/175</f>
        <v>28.571428571428573</v>
      </c>
    </row>
    <row r="269" spans="2:26" ht="15.95" hidden="1" customHeight="1" x14ac:dyDescent="0.15">
      <c r="B269" s="38"/>
      <c r="C269" s="20" t="s">
        <v>4</v>
      </c>
      <c r="D269" s="38">
        <f>IF(D267&gt;4110,N267,N268)</f>
        <v>27.18333333333333</v>
      </c>
      <c r="E269" s="24" t="s">
        <v>468</v>
      </c>
    </row>
    <row r="270" spans="2:26" ht="15.95" hidden="1" customHeight="1" x14ac:dyDescent="0.15"/>
    <row r="271" spans="2:26" ht="15.95" hidden="1" customHeight="1" x14ac:dyDescent="0.15"/>
    <row r="272" spans="2:26" ht="15.95" hidden="1" customHeight="1" x14ac:dyDescent="0.15">
      <c r="B272" s="35" t="s">
        <v>153</v>
      </c>
    </row>
    <row r="273" spans="1:26" s="20" customFormat="1" ht="15.95" hidden="1" customHeight="1" x14ac:dyDescent="0.15">
      <c r="A273" s="43"/>
      <c r="C273" s="43"/>
      <c r="D273" s="43"/>
      <c r="E273" s="43"/>
      <c r="F273" s="43"/>
      <c r="G273" s="43"/>
      <c r="H273" s="43"/>
      <c r="I273" s="43"/>
      <c r="J273" s="43"/>
      <c r="K273" s="43"/>
      <c r="L273" s="43"/>
      <c r="M273" s="43"/>
      <c r="O273" s="24"/>
      <c r="P273" s="24"/>
      <c r="Q273" s="24"/>
      <c r="R273" s="24"/>
      <c r="S273" s="24"/>
      <c r="T273" s="24"/>
      <c r="U273" s="24"/>
      <c r="V273" s="38"/>
      <c r="X273" s="38"/>
      <c r="Z273" s="38"/>
    </row>
    <row r="274" spans="1:26" s="20" customFormat="1" ht="15.95" hidden="1" customHeight="1" x14ac:dyDescent="0.15">
      <c r="A274" s="24"/>
      <c r="B274" s="36" t="s">
        <v>359</v>
      </c>
      <c r="C274" s="20" t="s">
        <v>36</v>
      </c>
      <c r="D274" s="38">
        <f>D262/(D269)</f>
        <v>0</v>
      </c>
      <c r="E274" s="39" t="str">
        <f>IF(D274&gt;F274,"&gt;","&lt;")</f>
        <v>&lt;</v>
      </c>
      <c r="F274" s="19">
        <v>1</v>
      </c>
      <c r="G274" s="107" t="str">
        <f>IF(D274&lt;F274,"O.K.","N.G.")</f>
        <v>O.K.</v>
      </c>
      <c r="I274" s="43"/>
      <c r="J274" s="43"/>
      <c r="K274" s="43"/>
      <c r="L274" s="43"/>
      <c r="M274" s="43"/>
      <c r="O274" s="24"/>
      <c r="P274" s="24"/>
      <c r="Q274" s="24"/>
      <c r="R274" s="24"/>
      <c r="S274" s="24"/>
      <c r="T274" s="24"/>
      <c r="U274" s="24"/>
      <c r="V274" s="38"/>
      <c r="X274" s="38"/>
      <c r="Z274" s="38"/>
    </row>
  </sheetData>
  <sheetProtection algorithmName="SHA-512" hashValue="Q5Ek9OZG6gqseuJsUaxutQKVAv87CZDXOAsI+CorL6dynHAmzUquNS57c8CF618KFmCvOuJ6jpJSFqn/Qd4mig==" saltValue="dJiFJ75PuBlJzZMO2vPOGQ==" spinCount="100000" sheet="1" objects="1" scenarios="1" selectLockedCells="1"/>
  <protectedRanges>
    <protectedRange sqref="D7:D10" name="범위1_2_1"/>
    <protectedRange sqref="D12" name="범위1_2_2"/>
  </protectedRanges>
  <mergeCells count="11">
    <mergeCell ref="M6:N6"/>
    <mergeCell ref="Q205:R205"/>
    <mergeCell ref="S205:U205"/>
    <mergeCell ref="D214:E214"/>
    <mergeCell ref="Q188:R188"/>
    <mergeCell ref="S188:U188"/>
    <mergeCell ref="Q197:R197"/>
    <mergeCell ref="S197:U197"/>
    <mergeCell ref="N13:N14"/>
    <mergeCell ref="O13:O14"/>
    <mergeCell ref="B46:K46"/>
  </mergeCells>
  <phoneticPr fontId="2" type="noConversion"/>
  <pageMargins left="0.51181102362204722" right="0.51181102362204722" top="0.78740157480314965" bottom="0.59055118110236227" header="0.39370078740157483" footer="0.39370078740157483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22</vt:i4>
      </vt:variant>
      <vt:variant>
        <vt:lpstr>이름 지정된 범위</vt:lpstr>
      </vt:variant>
      <vt:variant>
        <vt:i4>22</vt:i4>
      </vt:variant>
    </vt:vector>
  </HeadingPairs>
  <TitlesOfParts>
    <vt:vector size="44" baseType="lpstr">
      <vt:lpstr>KDS2022(20m 이상-Wall)</vt:lpstr>
      <vt:lpstr>KDS2022(20m 미만-Wall)</vt:lpstr>
      <vt:lpstr>풍하중</vt:lpstr>
      <vt:lpstr>단순</vt:lpstr>
      <vt:lpstr>단순 (보강)</vt:lpstr>
      <vt:lpstr>Kicker</vt:lpstr>
      <vt:lpstr>Kicker (보강)</vt:lpstr>
      <vt:lpstr>연속보-ej</vt:lpstr>
      <vt:lpstr>연속보-ej (보강)</vt:lpstr>
      <vt:lpstr>T</vt:lpstr>
      <vt:lpstr>단순 (ST'L - BOX)</vt:lpstr>
      <vt:lpstr>Kicker (ST'L - BOX)</vt:lpstr>
      <vt:lpstr>T(ST'L - BOX)</vt:lpstr>
      <vt:lpstr>단순 (ST'L - T-BAR)</vt:lpstr>
      <vt:lpstr>Kicker (ST'L - T-BAR)</vt:lpstr>
      <vt:lpstr>지진하중</vt:lpstr>
      <vt:lpstr>단순 (E)</vt:lpstr>
      <vt:lpstr>단순 (E-보강)</vt:lpstr>
      <vt:lpstr>연속보(E)-ej</vt:lpstr>
      <vt:lpstr>연속보(E)-ej (보강)</vt:lpstr>
      <vt:lpstr>단순(E) (ST'L - BOX)</vt:lpstr>
      <vt:lpstr>단순(E) (ST'L - T-BAR)</vt:lpstr>
      <vt:lpstr>'KDS2022(20m 미만-Wall)'!Print_Area</vt:lpstr>
      <vt:lpstr>'KDS2022(20m 이상-Wall)'!Print_Area</vt:lpstr>
      <vt:lpstr>Kicker!Print_Area</vt:lpstr>
      <vt:lpstr>'Kicker (ST''L - BOX)'!Print_Area</vt:lpstr>
      <vt:lpstr>'Kicker (ST''L - T-BAR)'!Print_Area</vt:lpstr>
      <vt:lpstr>'Kicker (보강)'!Print_Area</vt:lpstr>
      <vt:lpstr>T!Print_Area</vt:lpstr>
      <vt:lpstr>'T(ST''L - BOX)'!Print_Area</vt:lpstr>
      <vt:lpstr>단순!Print_Area</vt:lpstr>
      <vt:lpstr>'단순 (E)'!Print_Area</vt:lpstr>
      <vt:lpstr>'단순 (E-보강)'!Print_Area</vt:lpstr>
      <vt:lpstr>'단순 (ST''L - BOX)'!Print_Area</vt:lpstr>
      <vt:lpstr>'단순 (ST''L - T-BAR)'!Print_Area</vt:lpstr>
      <vt:lpstr>'단순 (보강)'!Print_Area</vt:lpstr>
      <vt:lpstr>'단순(E) (ST''L - BOX)'!Print_Area</vt:lpstr>
      <vt:lpstr>'단순(E) (ST''L - T-BAR)'!Print_Area</vt:lpstr>
      <vt:lpstr>'연속보(E)-ej'!Print_Area</vt:lpstr>
      <vt:lpstr>'연속보(E)-ej (보강)'!Print_Area</vt:lpstr>
      <vt:lpstr>'연속보-ej'!Print_Area</vt:lpstr>
      <vt:lpstr>'연속보-ej (보강)'!Print_Area</vt:lpstr>
      <vt:lpstr>지진하중!Print_Area</vt:lpstr>
      <vt:lpstr>풍하중!Print_Area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김윤태</dc:creator>
  <cp:lastModifiedBy>citywall 시티월</cp:lastModifiedBy>
  <cp:lastPrinted>2022-05-26T01:51:05Z</cp:lastPrinted>
  <dcterms:created xsi:type="dcterms:W3CDTF">1999-05-20T17:05:23Z</dcterms:created>
  <dcterms:modified xsi:type="dcterms:W3CDTF">2024-01-24T05:12:35Z</dcterms:modified>
</cp:coreProperties>
</file>