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국환\Desktop\"/>
    </mc:Choice>
  </mc:AlternateContent>
  <xr:revisionPtr revIDLastSave="0" documentId="13_ncr:1_{8B11763C-C0EF-48B6-B0D3-DD9DD228E220}" xr6:coauthVersionLast="47" xr6:coauthVersionMax="47" xr10:uidLastSave="{00000000-0000-0000-0000-000000000000}"/>
  <bookViews>
    <workbookView xWindow="-120" yWindow="-120" windowWidth="29040" windowHeight="15525" tabRatio="827" activeTab="2" xr2:uid="{00000000-000D-0000-FFFF-FFFF00000000}"/>
  </bookViews>
  <sheets>
    <sheet name="20m↑" sheetId="116" r:id="rId1"/>
    <sheet name="20m↓" sheetId="117" r:id="rId2"/>
    <sheet name="WIND LOAD" sheetId="104" r:id="rId3"/>
    <sheet name="ALUM. MULLION→" sheetId="134" r:id="rId4"/>
    <sheet name="단순보" sheetId="108" r:id="rId5"/>
    <sheet name="단순보-보강" sheetId="109" r:id="rId6"/>
    <sheet name="KICKER" sheetId="105" r:id="rId7"/>
    <sheet name="KICKER-보강" sheetId="107" r:id="rId8"/>
    <sheet name="연속보,E.J" sheetId="87" r:id="rId9"/>
    <sheet name="연속보,E.J-보강" sheetId="103" r:id="rId10"/>
    <sheet name="ALUM. TRANSOM" sheetId="122" r:id="rId11"/>
    <sheet name="ST'L MULLION→" sheetId="135" r:id="rId12"/>
    <sheet name="단순보(BOX)" sheetId="110" r:id="rId13"/>
    <sheet name="KICKER(BOX)" sheetId="112" r:id="rId14"/>
    <sheet name="단순보(T-BAR)" sheetId="111" r:id="rId15"/>
    <sheet name="KICKER(T-BAR)" sheetId="115" r:id="rId16"/>
    <sheet name="ST'L TRANSOM" sheetId="119" r:id="rId17"/>
    <sheet name="ANCHOR" sheetId="133" r:id="rId18"/>
  </sheets>
  <externalReferences>
    <externalReference r:id="rId19"/>
    <externalReference r:id="rId20"/>
    <externalReference r:id="rId21"/>
    <externalReference r:id="rId22"/>
  </externalReferences>
  <definedNames>
    <definedName name="_FIGURE" localSheetId="10">INDEX('ALUM. TRANSOM'!$V$280:$Y$280, 'ALUM. TRANSOM'!$P$98)</definedName>
    <definedName name="_FIGURE" localSheetId="17" xml:space="preserve"> INDEX(#REF!,#REF!)</definedName>
    <definedName name="_FIGURE" xml:space="preserve"> INDEX(#REF!,#REF!)</definedName>
    <definedName name="A" localSheetId="17">[1]Sheet1!#REF!</definedName>
    <definedName name="A">[1]Sheet1!#REF!</definedName>
    <definedName name="Ba" localSheetId="17">#REF!</definedName>
    <definedName name="Ba">#REF!</definedName>
    <definedName name="da">INDEX([2]A1!$AB$62:$AG$74,1,[2]A1!$N$66)</definedName>
    <definedName name="daddf">INDEX([3]A1!$AB$62:$AG$74,1,[3]A1!$N$66)</definedName>
    <definedName name="f" localSheetId="17" xml:space="preserve"> INDEX(#REF!,#REF!)</definedName>
    <definedName name="f" xml:space="preserve"> INDEX(#REF!,#REF!)</definedName>
    <definedName name="fan" localSheetId="17">#REF!</definedName>
    <definedName name="fan">#REF!</definedName>
    <definedName name="frn" localSheetId="17">#REF!</definedName>
    <definedName name="frn">#REF!</definedName>
    <definedName name="Fto" localSheetId="17">#REF!</definedName>
    <definedName name="Fto">#REF!</definedName>
    <definedName name="Fts" localSheetId="17">#REF!</definedName>
    <definedName name="Fts">#REF!</definedName>
    <definedName name="Ftso" localSheetId="17">#REF!</definedName>
    <definedName name="Ftso">#REF!</definedName>
    <definedName name="Fvo" localSheetId="17">#REF!</definedName>
    <definedName name="Fvo">#REF!</definedName>
    <definedName name="Na" localSheetId="17">#REF!</definedName>
    <definedName name="Na">#REF!</definedName>
    <definedName name="Nrd" localSheetId="17">#REF!</definedName>
    <definedName name="Nrd">#REF!</definedName>
    <definedName name="_xlnm.Print_Area" localSheetId="0">'20m↑'!$A$1:$M$67</definedName>
    <definedName name="_xlnm.Print_Area" localSheetId="1">'20m↓'!$A$1:$M$61</definedName>
    <definedName name="_xlnm.Print_Area" localSheetId="10">'ALUM. TRANSOM'!$A$1:$K$46</definedName>
    <definedName name="_xlnm.Print_Area" localSheetId="17">ANCHOR!$A$1:$L$43</definedName>
    <definedName name="_xlnm.Print_Area" localSheetId="6">KICKER!$A$1:$L$46</definedName>
    <definedName name="_xlnm.Print_Area" localSheetId="13">'KICKER(BOX)'!$A$1:$L$46</definedName>
    <definedName name="_xlnm.Print_Area" localSheetId="15">'KICKER(T-BAR)'!$A$1:$L$46</definedName>
    <definedName name="_xlnm.Print_Area" localSheetId="7">'KICKER-보강'!$A$1:$L$46</definedName>
    <definedName name="_xlnm.Print_Area" localSheetId="16">'ST''L TRANSOM'!$A$1:$K$46</definedName>
    <definedName name="_xlnm.Print_Area" localSheetId="2">'WIND LOAD'!$A$1:$M$37</definedName>
    <definedName name="_xlnm.Print_Area" localSheetId="4">단순보!$A$1:$L$46</definedName>
    <definedName name="_xlnm.Print_Area" localSheetId="12">'단순보(BOX)'!$A$1:$L$46</definedName>
    <definedName name="_xlnm.Print_Area" localSheetId="14">'단순보(T-BAR)'!$A$1:$L$46</definedName>
    <definedName name="_xlnm.Print_Area" localSheetId="5">'단순보-보강'!$A$1:$L$46</definedName>
    <definedName name="_xlnm.Print_Area" localSheetId="8">'연속보,E.J'!$A$1:$L$46</definedName>
    <definedName name="_xlnm.Print_Area" localSheetId="9">'연속보,E.J-보강'!$A$1:$L$46</definedName>
    <definedName name="Rule1">INDEX([4]A1!$AB$62:$AG$74,1,[4]A1!$N$66)</definedName>
    <definedName name="T" localSheetId="17">#REF!</definedName>
    <definedName name="T">#REF!</definedName>
    <definedName name="To" localSheetId="17">#REF!</definedName>
    <definedName name="To">#REF!</definedName>
    <definedName name="V" localSheetId="17">#REF!</definedName>
    <definedName name="V">#REF!</definedName>
    <definedName name="Va" localSheetId="17">#REF!</definedName>
    <definedName name="Va">#REF!</definedName>
    <definedName name="Vo" localSheetId="17">#REF!</definedName>
    <definedName name="Vo">#REF!</definedName>
    <definedName name="Vrd" localSheetId="17">#REF!</definedName>
    <definedName name="Vrd">#REF!</definedName>
    <definedName name="Vx" localSheetId="17">#REF!</definedName>
    <definedName name="Vx">#REF!</definedName>
    <definedName name="Vy" localSheetId="17">#REF!</definedName>
    <definedName name="Vy">#REF!</definedName>
    <definedName name="W" localSheetId="17">#REF!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17" l="1"/>
  <c r="O10" i="116"/>
  <c r="D8" i="133"/>
  <c r="N85" i="133" l="1"/>
  <c r="D81" i="133"/>
  <c r="D152" i="133"/>
  <c r="D151" i="133"/>
  <c r="D149" i="133"/>
  <c r="AH215" i="133" s="1"/>
  <c r="D148" i="133"/>
  <c r="AA197" i="133" s="1"/>
  <c r="U206" i="133" s="1"/>
  <c r="D145" i="133"/>
  <c r="N239" i="133" s="1"/>
  <c r="D144" i="133"/>
  <c r="Q199" i="133" s="1"/>
  <c r="D237" i="133" s="1"/>
  <c r="I95" i="133"/>
  <c r="I94" i="133"/>
  <c r="D102" i="133"/>
  <c r="D101" i="133"/>
  <c r="D100" i="133"/>
  <c r="D99" i="133"/>
  <c r="I51" i="133"/>
  <c r="I50" i="133"/>
  <c r="I48" i="133"/>
  <c r="Q86" i="133" s="1"/>
  <c r="N86" i="133" s="1"/>
  <c r="D80" i="133" s="1"/>
  <c r="P38" i="133"/>
  <c r="I142" i="133" s="1"/>
  <c r="P37" i="133"/>
  <c r="I141" i="133" s="1"/>
  <c r="P26" i="133"/>
  <c r="D98" i="133" s="1"/>
  <c r="N240" i="133"/>
  <c r="U209" i="133"/>
  <c r="D239" i="133" s="1"/>
  <c r="U205" i="133"/>
  <c r="Q195" i="133"/>
  <c r="D201" i="133" s="1"/>
  <c r="W193" i="133"/>
  <c r="V193" i="133"/>
  <c r="U193" i="133"/>
  <c r="Q193" i="133" s="1"/>
  <c r="D191" i="133" s="1"/>
  <c r="T193" i="133"/>
  <c r="S193" i="133"/>
  <c r="E191" i="133"/>
  <c r="W187" i="133"/>
  <c r="V187" i="133"/>
  <c r="U187" i="133"/>
  <c r="T187" i="133"/>
  <c r="S187" i="133"/>
  <c r="W186" i="133"/>
  <c r="V186" i="133"/>
  <c r="U186" i="133"/>
  <c r="T186" i="133"/>
  <c r="S186" i="133"/>
  <c r="W185" i="133"/>
  <c r="W188" i="133" s="1"/>
  <c r="V185" i="133"/>
  <c r="V189" i="133" s="1"/>
  <c r="U185" i="133"/>
  <c r="U189" i="133" s="1"/>
  <c r="T185" i="133"/>
  <c r="T188" i="133" s="1"/>
  <c r="S185" i="133"/>
  <c r="S189" i="133" s="1"/>
  <c r="N145" i="133"/>
  <c r="P137" i="133" s="1"/>
  <c r="F137" i="133" s="1"/>
  <c r="N137" i="133"/>
  <c r="F42" i="133" s="1"/>
  <c r="B137" i="133"/>
  <c r="I129" i="133"/>
  <c r="I127" i="133"/>
  <c r="I125" i="133"/>
  <c r="I123" i="133"/>
  <c r="Q115" i="133"/>
  <c r="N98" i="133"/>
  <c r="G98" i="133"/>
  <c r="B90" i="133"/>
  <c r="O88" i="133"/>
  <c r="J83" i="133" s="1"/>
  <c r="N88" i="133"/>
  <c r="O87" i="133"/>
  <c r="J82" i="133" s="1"/>
  <c r="N84" i="133"/>
  <c r="G80" i="133" s="1"/>
  <c r="R80" i="133"/>
  <c r="R79" i="133"/>
  <c r="N87" i="133" s="1"/>
  <c r="I82" i="133" s="1"/>
  <c r="I69" i="133"/>
  <c r="N50" i="133"/>
  <c r="B44" i="133"/>
  <c r="V188" i="133" l="1"/>
  <c r="U188" i="133"/>
  <c r="Q188" i="133" s="1"/>
  <c r="Q201" i="133"/>
  <c r="D247" i="133" s="1"/>
  <c r="I49" i="133"/>
  <c r="D70" i="133" s="1"/>
  <c r="N46" i="133"/>
  <c r="F40" i="133" s="1"/>
  <c r="Q189" i="133"/>
  <c r="Q187" i="133"/>
  <c r="U208" i="133" s="1"/>
  <c r="D241" i="133" s="1"/>
  <c r="AH197" i="133"/>
  <c r="Q185" i="133"/>
  <c r="D147" i="133" s="1"/>
  <c r="D146" i="133" s="1"/>
  <c r="Q186" i="133"/>
  <c r="AA215" i="133"/>
  <c r="U207" i="133" s="1"/>
  <c r="D194" i="133" s="1"/>
  <c r="T116" i="133"/>
  <c r="N94" i="133"/>
  <c r="F41" i="133" s="1"/>
  <c r="D115" i="133"/>
  <c r="D117" i="133"/>
  <c r="T117" i="133"/>
  <c r="D116" i="133"/>
  <c r="O91" i="133"/>
  <c r="F90" i="133" s="1"/>
  <c r="D114" i="133"/>
  <c r="O45" i="133"/>
  <c r="F44" i="133" s="1"/>
  <c r="D193" i="133"/>
  <c r="I84" i="133"/>
  <c r="T189" i="133"/>
  <c r="W189" i="133"/>
  <c r="S188" i="133"/>
  <c r="D238" i="133"/>
  <c r="D192" i="133"/>
  <c r="N49" i="133" l="1"/>
  <c r="D49" i="133" s="1"/>
  <c r="D61" i="133" s="1"/>
  <c r="D142" i="133"/>
  <c r="D95" i="133"/>
  <c r="S110" i="133" s="1"/>
  <c r="U194" i="133"/>
  <c r="Q194" i="133" s="1"/>
  <c r="Q196" i="133" s="1"/>
  <c r="D206" i="133" s="1"/>
  <c r="W194" i="133"/>
  <c r="T194" i="133"/>
  <c r="S194" i="133"/>
  <c r="V194" i="133"/>
  <c r="U200" i="133"/>
  <c r="Q200" i="133" s="1"/>
  <c r="T200" i="133"/>
  <c r="V200" i="133"/>
  <c r="W200" i="133"/>
  <c r="S200" i="133"/>
  <c r="D168" i="133"/>
  <c r="D161" i="133"/>
  <c r="S114" i="133" l="1"/>
  <c r="S108" i="133"/>
  <c r="T114" i="133"/>
  <c r="P115" i="133" s="1"/>
  <c r="R115" i="133" s="1"/>
  <c r="M111" i="133" s="1"/>
  <c r="S112" i="133"/>
  <c r="D197" i="133"/>
  <c r="M113" i="133"/>
  <c r="D110" i="133"/>
  <c r="D125" i="133" s="1"/>
  <c r="M107" i="133"/>
  <c r="D112" i="133"/>
  <c r="M109" i="133"/>
  <c r="D243" i="133"/>
  <c r="Q202" i="133"/>
  <c r="D252" i="133" s="1"/>
  <c r="M134" i="133" l="1"/>
  <c r="M129" i="133"/>
  <c r="M135" i="133"/>
  <c r="M128" i="133"/>
  <c r="D34" i="108" l="1"/>
  <c r="F10" i="117" l="1"/>
  <c r="D250" i="103" l="1"/>
  <c r="F43" i="103" l="1"/>
  <c r="D23" i="119" l="1"/>
  <c r="M22" i="119"/>
  <c r="M21" i="119"/>
  <c r="M20" i="119"/>
  <c r="M19" i="119"/>
  <c r="D24" i="119" s="1"/>
  <c r="M27" i="119" l="1"/>
  <c r="M28" i="119"/>
  <c r="M18" i="119" s="1"/>
  <c r="D20" i="119" s="1"/>
  <c r="M24" i="119" l="1"/>
  <c r="M23" i="119"/>
  <c r="M25" i="119" l="1"/>
  <c r="D21" i="119"/>
  <c r="M26" i="119"/>
  <c r="D22" i="119"/>
  <c r="L149" i="119" l="1"/>
  <c r="D150" i="119" s="1"/>
  <c r="D152" i="119" s="1"/>
  <c r="F6" i="119"/>
  <c r="D6" i="119"/>
  <c r="D108" i="112"/>
  <c r="D110" i="112" s="1"/>
  <c r="M106" i="112"/>
  <c r="H108" i="112" s="1"/>
  <c r="M105" i="115"/>
  <c r="H106" i="115" s="1"/>
  <c r="H6" i="115"/>
  <c r="D6" i="115"/>
  <c r="D106" i="111"/>
  <c r="D109" i="111" s="1"/>
  <c r="M105" i="111"/>
  <c r="H106" i="111" s="1"/>
  <c r="H6" i="111"/>
  <c r="D6" i="111"/>
  <c r="H6" i="112"/>
  <c r="D6" i="112"/>
  <c r="M107" i="110"/>
  <c r="H108" i="110" s="1"/>
  <c r="D6" i="110"/>
  <c r="H6" i="110"/>
  <c r="D106" i="115" l="1"/>
  <c r="D109" i="115" s="1"/>
  <c r="L167" i="119"/>
  <c r="G150" i="119"/>
  <c r="D108" i="110"/>
  <c r="D110" i="110" s="1"/>
  <c r="D34" i="122"/>
  <c r="F34" i="122" s="1"/>
  <c r="D33" i="122"/>
  <c r="F33" i="122" s="1"/>
  <c r="D32" i="122"/>
  <c r="D31" i="122"/>
  <c r="N28" i="122"/>
  <c r="U27" i="122"/>
  <c r="S27" i="122"/>
  <c r="U26" i="122"/>
  <c r="S16" i="122" s="1"/>
  <c r="S26" i="122"/>
  <c r="S25" i="122"/>
  <c r="N22" i="122"/>
  <c r="U25" i="122" s="1"/>
  <c r="N21" i="122"/>
  <c r="W15" i="122"/>
  <c r="U14" i="122"/>
  <c r="U12" i="122"/>
  <c r="D257" i="122"/>
  <c r="D258" i="122" s="1"/>
  <c r="T208" i="122"/>
  <c r="T207" i="122"/>
  <c r="Q207" i="122"/>
  <c r="P207" i="122"/>
  <c r="T206" i="122"/>
  <c r="S206" i="122"/>
  <c r="T200" i="122"/>
  <c r="T199" i="122"/>
  <c r="Q199" i="122"/>
  <c r="P199" i="122"/>
  <c r="T198" i="122"/>
  <c r="S198" i="122"/>
  <c r="T191" i="122"/>
  <c r="T190" i="122"/>
  <c r="Q190" i="122"/>
  <c r="P190" i="122"/>
  <c r="T189" i="122"/>
  <c r="S189" i="122"/>
  <c r="D189" i="122"/>
  <c r="M185" i="122"/>
  <c r="T166" i="122"/>
  <c r="T165" i="122"/>
  <c r="Q165" i="122"/>
  <c r="P165" i="122"/>
  <c r="D165" i="122"/>
  <c r="D199" i="122" s="1"/>
  <c r="T164" i="122"/>
  <c r="S164" i="122"/>
  <c r="T157" i="122"/>
  <c r="T156" i="122"/>
  <c r="Q156" i="122"/>
  <c r="P156" i="122"/>
  <c r="T155" i="122"/>
  <c r="S155" i="122"/>
  <c r="T147" i="122"/>
  <c r="T146" i="122"/>
  <c r="Q146" i="122"/>
  <c r="P146" i="122"/>
  <c r="T145" i="122"/>
  <c r="S145" i="122"/>
  <c r="D145" i="122"/>
  <c r="M141" i="122"/>
  <c r="D113" i="122"/>
  <c r="D105" i="122"/>
  <c r="D104" i="122"/>
  <c r="D103" i="122"/>
  <c r="B95" i="122" s="1"/>
  <c r="D102" i="122"/>
  <c r="Q135" i="122" s="1"/>
  <c r="D134" i="122" s="1"/>
  <c r="R79" i="122"/>
  <c r="Q79" i="122"/>
  <c r="R78" i="122"/>
  <c r="Q78" i="122" s="1"/>
  <c r="R77" i="122"/>
  <c r="Q77" i="122" s="1"/>
  <c r="R76" i="122"/>
  <c r="Q76" i="122"/>
  <c r="R75" i="122"/>
  <c r="Q75" i="122" s="1"/>
  <c r="R74" i="122"/>
  <c r="Q74" i="122" s="1"/>
  <c r="D69" i="122"/>
  <c r="O67" i="122"/>
  <c r="D67" i="122"/>
  <c r="O66" i="122"/>
  <c r="D66" i="122"/>
  <c r="D68" i="122" s="1"/>
  <c r="O65" i="122"/>
  <c r="E41" i="122"/>
  <c r="D241" i="122" s="1"/>
  <c r="F241" i="122" s="1"/>
  <c r="G34" i="122"/>
  <c r="D155" i="122" s="1"/>
  <c r="D206" i="122" s="1"/>
  <c r="E13" i="122"/>
  <c r="U15" i="122" l="1"/>
  <c r="U16" i="122"/>
  <c r="D156" i="122"/>
  <c r="D207" i="122" s="1"/>
  <c r="D259" i="122"/>
  <c r="E42" i="122" s="1"/>
  <c r="M258" i="122"/>
  <c r="M257" i="122"/>
  <c r="D27" i="122"/>
  <c r="D148" i="122" s="1"/>
  <c r="U13" i="122"/>
  <c r="S15" i="122"/>
  <c r="G168" i="119"/>
  <c r="D168" i="119"/>
  <c r="D170" i="119" s="1"/>
  <c r="I66" i="122"/>
  <c r="D81" i="122" s="1"/>
  <c r="Q129" i="122"/>
  <c r="D128" i="122" s="1"/>
  <c r="O100" i="122"/>
  <c r="M103" i="122"/>
  <c r="C96" i="122" s="1"/>
  <c r="Q114" i="122"/>
  <c r="D109" i="122" s="1"/>
  <c r="M102" i="122"/>
  <c r="C95" i="122" s="1"/>
  <c r="G33" i="122"/>
  <c r="D164" i="122" s="1"/>
  <c r="D198" i="122" s="1"/>
  <c r="D200" i="122" s="1"/>
  <c r="D208" i="122"/>
  <c r="M208" i="122" s="1"/>
  <c r="S207" i="122" s="1"/>
  <c r="W16" i="122"/>
  <c r="S14" i="122"/>
  <c r="W14" i="122"/>
  <c r="S13" i="122"/>
  <c r="W12" i="122"/>
  <c r="S12" i="122"/>
  <c r="W13" i="122"/>
  <c r="D157" i="122"/>
  <c r="D192" i="122"/>
  <c r="O101" i="122"/>
  <c r="O99" i="122"/>
  <c r="O102" i="122"/>
  <c r="Q131" i="122"/>
  <c r="I128" i="122" s="1"/>
  <c r="B96" i="122"/>
  <c r="Q120" i="122"/>
  <c r="I118" i="122" s="1"/>
  <c r="I113" i="122"/>
  <c r="Q137" i="122"/>
  <c r="I134" i="122" s="1"/>
  <c r="E258" i="122"/>
  <c r="Q112" i="122"/>
  <c r="D107" i="122" s="1"/>
  <c r="Q118" i="122"/>
  <c r="D118" i="122" s="1"/>
  <c r="E257" i="122"/>
  <c r="D78" i="122" l="1"/>
  <c r="P210" i="122"/>
  <c r="R210" i="122" s="1"/>
  <c r="N210" i="122"/>
  <c r="M210" i="122"/>
  <c r="S208" i="122" s="1"/>
  <c r="N208" i="122"/>
  <c r="D166" i="122"/>
  <c r="M168" i="122" s="1"/>
  <c r="S166" i="122" s="1"/>
  <c r="W20" i="122"/>
  <c r="W22" i="122" s="1"/>
  <c r="U21" i="122" s="1"/>
  <c r="S17" i="122"/>
  <c r="D20" i="122" s="1"/>
  <c r="O68" i="122" s="1"/>
  <c r="O69" i="122" s="1"/>
  <c r="I68" i="122" s="1"/>
  <c r="I71" i="122" s="1"/>
  <c r="I78" i="122" s="1"/>
  <c r="W19" i="122"/>
  <c r="W21" i="122" s="1"/>
  <c r="U20" i="122"/>
  <c r="P98" i="122"/>
  <c r="O98" i="122" s="1"/>
  <c r="P168" i="122"/>
  <c r="R168" i="122" s="1"/>
  <c r="N166" i="122"/>
  <c r="P202" i="122"/>
  <c r="R202" i="122" s="1"/>
  <c r="M200" i="122"/>
  <c r="S199" i="122" s="1"/>
  <c r="M202" i="122"/>
  <c r="S200" i="122" s="1"/>
  <c r="N202" i="122"/>
  <c r="N200" i="122"/>
  <c r="S210" i="122"/>
  <c r="D209" i="122" s="1"/>
  <c r="D210" i="122" s="1"/>
  <c r="T210" i="122"/>
  <c r="G206" i="122" s="1"/>
  <c r="M159" i="122"/>
  <c r="S157" i="122" s="1"/>
  <c r="P159" i="122"/>
  <c r="R159" i="122" s="1"/>
  <c r="M157" i="122"/>
  <c r="S156" i="122" s="1"/>
  <c r="N157" i="122"/>
  <c r="N159" i="122"/>
  <c r="N168" i="122" l="1"/>
  <c r="M166" i="122"/>
  <c r="S165" i="122" s="1"/>
  <c r="I81" i="122"/>
  <c r="U19" i="122"/>
  <c r="D84" i="122"/>
  <c r="D12" i="122" s="1"/>
  <c r="S19" i="122"/>
  <c r="N26" i="122"/>
  <c r="D23" i="122" s="1"/>
  <c r="S20" i="122"/>
  <c r="S23" i="122"/>
  <c r="S21" i="122"/>
  <c r="S22" i="122"/>
  <c r="N25" i="122"/>
  <c r="D24" i="122" s="1"/>
  <c r="U22" i="122"/>
  <c r="W24" i="122" s="1"/>
  <c r="N24" i="122" s="1"/>
  <c r="D21" i="122" s="1"/>
  <c r="U23" i="122"/>
  <c r="S202" i="122"/>
  <c r="D201" i="122" s="1"/>
  <c r="D202" i="122" s="1"/>
  <c r="T202" i="122"/>
  <c r="G198" i="122" s="1"/>
  <c r="S159" i="122"/>
  <c r="D158" i="122" s="1"/>
  <c r="D159" i="122" s="1"/>
  <c r="T159" i="122"/>
  <c r="G155" i="122" s="1"/>
  <c r="S168" i="122"/>
  <c r="D167" i="122" s="1"/>
  <c r="D168" i="122" s="1"/>
  <c r="T168" i="122"/>
  <c r="G164" i="122" s="1"/>
  <c r="D190" i="122" l="1"/>
  <c r="D70" i="122"/>
  <c r="D25" i="122"/>
  <c r="D147" i="122" s="1"/>
  <c r="W23" i="122"/>
  <c r="N23" i="122" s="1"/>
  <c r="D87" i="122" l="1"/>
  <c r="I87" i="122"/>
  <c r="N27" i="122"/>
  <c r="D22" i="122"/>
  <c r="D174" i="122"/>
  <c r="D90" i="122" l="1"/>
  <c r="D14" i="122" s="1"/>
  <c r="D38" i="122"/>
  <c r="D237" i="122"/>
  <c r="D245" i="122" s="1"/>
  <c r="D41" i="122"/>
  <c r="D106" i="122"/>
  <c r="D26" i="122"/>
  <c r="D191" i="122" s="1"/>
  <c r="I189" i="122" s="1"/>
  <c r="D146" i="122"/>
  <c r="I145" i="122" s="1"/>
  <c r="F38" i="103"/>
  <c r="G41" i="122" l="1"/>
  <c r="F41" i="122"/>
  <c r="E245" i="122"/>
  <c r="G245" i="122"/>
  <c r="M147" i="122"/>
  <c r="S146" i="122" s="1"/>
  <c r="N147" i="122"/>
  <c r="M149" i="122"/>
  <c r="S147" i="122" s="1"/>
  <c r="P149" i="122"/>
  <c r="R149" i="122" s="1"/>
  <c r="N149" i="122"/>
  <c r="N191" i="122"/>
  <c r="M191" i="122"/>
  <c r="S190" i="122" s="1"/>
  <c r="N193" i="122"/>
  <c r="P193" i="122"/>
  <c r="R193" i="122" s="1"/>
  <c r="M193" i="122"/>
  <c r="S191" i="122" s="1"/>
  <c r="D158" i="107"/>
  <c r="D158" i="109"/>
  <c r="T149" i="122" l="1"/>
  <c r="G147" i="122" s="1"/>
  <c r="S149" i="122"/>
  <c r="D149" i="122" s="1"/>
  <c r="D150" i="122" s="1"/>
  <c r="D176" i="122" s="1"/>
  <c r="T193" i="122"/>
  <c r="G191" i="122" s="1"/>
  <c r="S193" i="122"/>
  <c r="D193" i="122" s="1"/>
  <c r="D194" i="122" s="1"/>
  <c r="D218" i="122" s="1"/>
  <c r="E39" i="122" s="1"/>
  <c r="E38" i="122" l="1"/>
  <c r="D181" i="122"/>
  <c r="E181" i="122" l="1"/>
  <c r="G181" i="122"/>
  <c r="D227" i="122"/>
  <c r="G38" i="122"/>
  <c r="F38" i="122"/>
  <c r="D211" i="119" l="1"/>
  <c r="E31" i="119"/>
  <c r="M164" i="119"/>
  <c r="E30" i="119"/>
  <c r="M146" i="119"/>
  <c r="D106" i="119"/>
  <c r="D105" i="119"/>
  <c r="D104" i="119"/>
  <c r="I113" i="119" s="1"/>
  <c r="D103" i="119"/>
  <c r="D102" i="119"/>
  <c r="O100" i="119"/>
  <c r="B96" i="119"/>
  <c r="R79" i="119"/>
  <c r="Q79" i="119" s="1"/>
  <c r="R78" i="119"/>
  <c r="Q78" i="119" s="1"/>
  <c r="R77" i="119"/>
  <c r="Q77" i="119" s="1"/>
  <c r="R76" i="119"/>
  <c r="Q76" i="119" s="1"/>
  <c r="R75" i="119"/>
  <c r="Q75" i="119" s="1"/>
  <c r="R74" i="119"/>
  <c r="Q74" i="119" s="1"/>
  <c r="D70" i="119"/>
  <c r="D69" i="119"/>
  <c r="O68" i="119"/>
  <c r="O67" i="119"/>
  <c r="O69" i="119" s="1"/>
  <c r="D67" i="119"/>
  <c r="O66" i="119"/>
  <c r="D66" i="119"/>
  <c r="D68" i="119" s="1"/>
  <c r="O65" i="119"/>
  <c r="I66" i="119" s="1"/>
  <c r="E33" i="119"/>
  <c r="D195" i="119" s="1"/>
  <c r="F195" i="119" s="1"/>
  <c r="D26" i="119"/>
  <c r="D25" i="119"/>
  <c r="E13" i="119"/>
  <c r="Q135" i="119" l="1"/>
  <c r="D134" i="119" s="1"/>
  <c r="M211" i="119"/>
  <c r="M212" i="119"/>
  <c r="D213" i="119" s="1"/>
  <c r="E34" i="119" s="1"/>
  <c r="E211" i="119"/>
  <c r="M103" i="119"/>
  <c r="C96" i="119" s="1"/>
  <c r="I68" i="119"/>
  <c r="O99" i="119"/>
  <c r="P98" i="119" s="1"/>
  <c r="O98" i="119" s="1"/>
  <c r="O102" i="119"/>
  <c r="Q120" i="119"/>
  <c r="I118" i="119" s="1"/>
  <c r="Q129" i="119"/>
  <c r="D128" i="119" s="1"/>
  <c r="Q114" i="119"/>
  <c r="D109" i="119" s="1"/>
  <c r="D78" i="119"/>
  <c r="D81" i="119"/>
  <c r="O101" i="119"/>
  <c r="Q131" i="119"/>
  <c r="I128" i="119" s="1"/>
  <c r="Q137" i="119"/>
  <c r="I134" i="119" s="1"/>
  <c r="D212" i="119"/>
  <c r="B95" i="119"/>
  <c r="M102" i="119"/>
  <c r="C95" i="119" s="1"/>
  <c r="E212" i="119"/>
  <c r="Q112" i="119"/>
  <c r="D107" i="119" s="1"/>
  <c r="Q118" i="119"/>
  <c r="D118" i="119" s="1"/>
  <c r="D113" i="119"/>
  <c r="I71" i="119" l="1"/>
  <c r="I78" i="119" s="1"/>
  <c r="D87" i="119"/>
  <c r="I81" i="119" l="1"/>
  <c r="D84" i="119" s="1"/>
  <c r="D145" i="119" s="1"/>
  <c r="I87" i="119"/>
  <c r="D90" i="119" s="1"/>
  <c r="D12" i="119" l="1"/>
  <c r="D157" i="119"/>
  <c r="D14" i="119"/>
  <c r="D30" i="119"/>
  <c r="D191" i="119" l="1"/>
  <c r="D199" i="119" s="1"/>
  <c r="D33" i="119"/>
  <c r="G30" i="119"/>
  <c r="F30" i="119"/>
  <c r="E157" i="119"/>
  <c r="G157" i="119"/>
  <c r="F33" i="119" l="1"/>
  <c r="G33" i="119"/>
  <c r="G199" i="119"/>
  <c r="E199" i="119"/>
  <c r="O9" i="116" l="1"/>
  <c r="AD42" i="116" s="1"/>
  <c r="Z42" i="116" s="1"/>
  <c r="AE42" i="116" s="1"/>
  <c r="O9" i="117"/>
  <c r="AD38" i="117" s="1"/>
  <c r="Z38" i="117" s="1"/>
  <c r="AE38" i="117" s="1"/>
  <c r="H16" i="117"/>
  <c r="F16" i="117"/>
  <c r="P68" i="117" s="1"/>
  <c r="Q70" i="117" s="1"/>
  <c r="F15" i="117"/>
  <c r="F14" i="117"/>
  <c r="F13" i="117"/>
  <c r="N49" i="117" s="1"/>
  <c r="I50" i="117"/>
  <c r="H16" i="116"/>
  <c r="F16" i="116"/>
  <c r="F15" i="116"/>
  <c r="F14" i="116"/>
  <c r="F13" i="116"/>
  <c r="I48" i="116" s="1"/>
  <c r="F10" i="116"/>
  <c r="I50" i="116" s="1"/>
  <c r="U123" i="116" s="1"/>
  <c r="U119" i="117"/>
  <c r="U118" i="117"/>
  <c r="U115" i="117"/>
  <c r="U119" i="116"/>
  <c r="U118" i="116"/>
  <c r="U115" i="116"/>
  <c r="AD8" i="116" l="1"/>
  <c r="Z8" i="116" s="1"/>
  <c r="AE8" i="116" s="1"/>
  <c r="AF8" i="116" s="1"/>
  <c r="AD15" i="116"/>
  <c r="Z15" i="116" s="1"/>
  <c r="AE15" i="116" s="1"/>
  <c r="AD51" i="116"/>
  <c r="Z51" i="116" s="1"/>
  <c r="AE51" i="116" s="1"/>
  <c r="AG51" i="116" s="1"/>
  <c r="AD50" i="117"/>
  <c r="Z50" i="117" s="1"/>
  <c r="AE50" i="117" s="1"/>
  <c r="AD11" i="116"/>
  <c r="Z11" i="116" s="1"/>
  <c r="AE11" i="116" s="1"/>
  <c r="AG11" i="116" s="1"/>
  <c r="AD20" i="116"/>
  <c r="Z20" i="116" s="1"/>
  <c r="AE20" i="116" s="1"/>
  <c r="AG20" i="116" s="1"/>
  <c r="AD5" i="116"/>
  <c r="Z5" i="116" s="1"/>
  <c r="AE5" i="116" s="1"/>
  <c r="AF5" i="116" s="1"/>
  <c r="N12" i="116"/>
  <c r="AD21" i="116"/>
  <c r="Z21" i="116" s="1"/>
  <c r="AE21" i="116" s="1"/>
  <c r="AF21" i="116" s="1"/>
  <c r="AD7" i="116"/>
  <c r="Z7" i="116" s="1"/>
  <c r="AE7" i="116" s="1"/>
  <c r="AG7" i="116" s="1"/>
  <c r="AD12" i="116"/>
  <c r="Z12" i="116" s="1"/>
  <c r="AE12" i="116" s="1"/>
  <c r="AF12" i="116" s="1"/>
  <c r="AD49" i="116"/>
  <c r="Z49" i="116" s="1"/>
  <c r="AE49" i="116" s="1"/>
  <c r="AG49" i="116" s="1"/>
  <c r="AD26" i="117"/>
  <c r="Z26" i="117" s="1"/>
  <c r="AE26" i="117" s="1"/>
  <c r="AG26" i="117" s="1"/>
  <c r="AD49" i="117"/>
  <c r="Z49" i="117" s="1"/>
  <c r="AE49" i="117" s="1"/>
  <c r="AD3" i="116"/>
  <c r="Z3" i="116" s="1"/>
  <c r="AE3" i="116" s="1"/>
  <c r="AF3" i="116" s="1"/>
  <c r="AD9" i="116"/>
  <c r="Z9" i="116" s="1"/>
  <c r="AE9" i="116" s="1"/>
  <c r="AD19" i="116"/>
  <c r="Z19" i="116" s="1"/>
  <c r="AE19" i="116" s="1"/>
  <c r="AF19" i="116" s="1"/>
  <c r="AD52" i="116"/>
  <c r="Z52" i="116" s="1"/>
  <c r="AE52" i="116" s="1"/>
  <c r="AG52" i="116" s="1"/>
  <c r="AD4" i="116"/>
  <c r="Z4" i="116" s="1"/>
  <c r="AE4" i="116" s="1"/>
  <c r="AG4" i="116" s="1"/>
  <c r="AD6" i="116"/>
  <c r="Z6" i="116" s="1"/>
  <c r="AE6" i="116" s="1"/>
  <c r="AG6" i="116" s="1"/>
  <c r="O12" i="116"/>
  <c r="AD24" i="116"/>
  <c r="Z24" i="116" s="1"/>
  <c r="AE24" i="116" s="1"/>
  <c r="AF24" i="116" s="1"/>
  <c r="AD25" i="116"/>
  <c r="Z25" i="116" s="1"/>
  <c r="AE25" i="116" s="1"/>
  <c r="AG25" i="116" s="1"/>
  <c r="AD26" i="116"/>
  <c r="Z26" i="116" s="1"/>
  <c r="AE26" i="116" s="1"/>
  <c r="AG26" i="116" s="1"/>
  <c r="AD33" i="116"/>
  <c r="Z33" i="116" s="1"/>
  <c r="AE33" i="116" s="1"/>
  <c r="AG33" i="116" s="1"/>
  <c r="AD34" i="116"/>
  <c r="Z34" i="116" s="1"/>
  <c r="AE34" i="116" s="1"/>
  <c r="AD35" i="116"/>
  <c r="Z35" i="116" s="1"/>
  <c r="AE35" i="116" s="1"/>
  <c r="AF35" i="116" s="1"/>
  <c r="AD43" i="116"/>
  <c r="Z43" i="116" s="1"/>
  <c r="AE43" i="116" s="1"/>
  <c r="AD44" i="116"/>
  <c r="Z44" i="116" s="1"/>
  <c r="AE44" i="116" s="1"/>
  <c r="AG44" i="116" s="1"/>
  <c r="AD45" i="116"/>
  <c r="Z45" i="116" s="1"/>
  <c r="AE45" i="116" s="1"/>
  <c r="AG45" i="116" s="1"/>
  <c r="AD27" i="116"/>
  <c r="Z27" i="116" s="1"/>
  <c r="AE27" i="116" s="1"/>
  <c r="AG27" i="116" s="1"/>
  <c r="AD36" i="116"/>
  <c r="Z36" i="116" s="1"/>
  <c r="AE36" i="116" s="1"/>
  <c r="AF36" i="116" s="1"/>
  <c r="AD46" i="116"/>
  <c r="Z46" i="116" s="1"/>
  <c r="AE46" i="116" s="1"/>
  <c r="AF46" i="116" s="1"/>
  <c r="N11" i="116"/>
  <c r="AD13" i="116"/>
  <c r="Z13" i="116" s="1"/>
  <c r="AE13" i="116" s="1"/>
  <c r="AG13" i="116" s="1"/>
  <c r="AD22" i="116"/>
  <c r="Z22" i="116" s="1"/>
  <c r="AE22" i="116" s="1"/>
  <c r="AF22" i="116" s="1"/>
  <c r="AD31" i="116"/>
  <c r="Z31" i="116" s="1"/>
  <c r="AE31" i="116" s="1"/>
  <c r="AG31" i="116" s="1"/>
  <c r="AD37" i="116"/>
  <c r="Z37" i="116" s="1"/>
  <c r="AE37" i="116" s="1"/>
  <c r="AG37" i="116" s="1"/>
  <c r="AD47" i="116"/>
  <c r="Z47" i="116" s="1"/>
  <c r="AE47" i="116" s="1"/>
  <c r="AG47" i="116" s="1"/>
  <c r="O11" i="116"/>
  <c r="AD14" i="116"/>
  <c r="Z14" i="116" s="1"/>
  <c r="AE14" i="116" s="1"/>
  <c r="AF14" i="116" s="1"/>
  <c r="AD23" i="116"/>
  <c r="Z23" i="116" s="1"/>
  <c r="AE23" i="116" s="1"/>
  <c r="AG23" i="116" s="1"/>
  <c r="AD32" i="116"/>
  <c r="Z32" i="116" s="1"/>
  <c r="AE32" i="116" s="1"/>
  <c r="AF32" i="116" s="1"/>
  <c r="AD38" i="116"/>
  <c r="Z38" i="116" s="1"/>
  <c r="AE38" i="116" s="1"/>
  <c r="AG38" i="116" s="1"/>
  <c r="AD48" i="116"/>
  <c r="Z48" i="116" s="1"/>
  <c r="AE48" i="116" s="1"/>
  <c r="AF48" i="116" s="1"/>
  <c r="P68" i="116"/>
  <c r="Q71" i="116" s="1"/>
  <c r="AD39" i="116"/>
  <c r="Z39" i="116" s="1"/>
  <c r="AE39" i="116" s="1"/>
  <c r="AG39" i="116" s="1"/>
  <c r="N49" i="116"/>
  <c r="AD5" i="117"/>
  <c r="Z5" i="117" s="1"/>
  <c r="AE5" i="117" s="1"/>
  <c r="AG5" i="117" s="1"/>
  <c r="AD3" i="117"/>
  <c r="Z3" i="117" s="1"/>
  <c r="AE3" i="117" s="1"/>
  <c r="AG3" i="117" s="1"/>
  <c r="I49" i="116"/>
  <c r="U122" i="116" s="1"/>
  <c r="AD4" i="117"/>
  <c r="Z4" i="117" s="1"/>
  <c r="AE4" i="117" s="1"/>
  <c r="AD7" i="117"/>
  <c r="Z7" i="117" s="1"/>
  <c r="AE7" i="117" s="1"/>
  <c r="AG7" i="117" s="1"/>
  <c r="AD6" i="117"/>
  <c r="Z6" i="117" s="1"/>
  <c r="AE6" i="117" s="1"/>
  <c r="AF6" i="117" s="1"/>
  <c r="AD16" i="116"/>
  <c r="Z16" i="116" s="1"/>
  <c r="AE16" i="116" s="1"/>
  <c r="AG16" i="116" s="1"/>
  <c r="N10" i="116"/>
  <c r="AD17" i="116"/>
  <c r="Z17" i="116" s="1"/>
  <c r="AE17" i="116" s="1"/>
  <c r="AG17" i="116" s="1"/>
  <c r="AD29" i="116"/>
  <c r="Z29" i="116" s="1"/>
  <c r="AE29" i="116" s="1"/>
  <c r="AG29" i="116" s="1"/>
  <c r="AD41" i="116"/>
  <c r="Z41" i="116" s="1"/>
  <c r="AE41" i="116" s="1"/>
  <c r="AF41" i="116" s="1"/>
  <c r="AD50" i="116"/>
  <c r="Z50" i="116" s="1"/>
  <c r="AE50" i="116" s="1"/>
  <c r="AG50" i="116" s="1"/>
  <c r="N10" i="117"/>
  <c r="AD28" i="116"/>
  <c r="Z28" i="116" s="1"/>
  <c r="AE28" i="116" s="1"/>
  <c r="AF28" i="116" s="1"/>
  <c r="AD40" i="116"/>
  <c r="Z40" i="116" s="1"/>
  <c r="AE40" i="116" s="1"/>
  <c r="AG40" i="116" s="1"/>
  <c r="AD10" i="116"/>
  <c r="Z10" i="116" s="1"/>
  <c r="AE10" i="116" s="1"/>
  <c r="AD18" i="116"/>
  <c r="Z18" i="116" s="1"/>
  <c r="AE18" i="116" s="1"/>
  <c r="AG18" i="116" s="1"/>
  <c r="AD30" i="116"/>
  <c r="Z30" i="116" s="1"/>
  <c r="AE30" i="116" s="1"/>
  <c r="AG30" i="116" s="1"/>
  <c r="I51" i="116"/>
  <c r="O54" i="116" s="1"/>
  <c r="AD10" i="117"/>
  <c r="Z10" i="117" s="1"/>
  <c r="AE10" i="117" s="1"/>
  <c r="AF10" i="117" s="1"/>
  <c r="AD8" i="117"/>
  <c r="Z8" i="117" s="1"/>
  <c r="AE8" i="117" s="1"/>
  <c r="AG8" i="117" s="1"/>
  <c r="AD9" i="117"/>
  <c r="Z9" i="117" s="1"/>
  <c r="AE9" i="117" s="1"/>
  <c r="AF9" i="117" s="1"/>
  <c r="N12" i="117"/>
  <c r="E48" i="116"/>
  <c r="O12" i="117"/>
  <c r="AD13" i="117"/>
  <c r="Z13" i="117" s="1"/>
  <c r="AE13" i="117" s="1"/>
  <c r="AG13" i="117" s="1"/>
  <c r="AD12" i="117"/>
  <c r="Z12" i="117" s="1"/>
  <c r="AE12" i="117" s="1"/>
  <c r="AG12" i="117" s="1"/>
  <c r="AD14" i="117"/>
  <c r="Z14" i="117" s="1"/>
  <c r="AE14" i="117" s="1"/>
  <c r="AD15" i="117"/>
  <c r="Z15" i="117" s="1"/>
  <c r="AE15" i="117" s="1"/>
  <c r="AF15" i="117" s="1"/>
  <c r="AD21" i="117"/>
  <c r="Z21" i="117" s="1"/>
  <c r="AE21" i="117" s="1"/>
  <c r="AF21" i="117" s="1"/>
  <c r="AD22" i="117"/>
  <c r="Z22" i="117" s="1"/>
  <c r="AE22" i="117" s="1"/>
  <c r="AG22" i="117" s="1"/>
  <c r="N11" i="117"/>
  <c r="AD28" i="117"/>
  <c r="Z28" i="117" s="1"/>
  <c r="AE28" i="117" s="1"/>
  <c r="AG28" i="117" s="1"/>
  <c r="O11" i="117"/>
  <c r="AD30" i="117"/>
  <c r="Z30" i="117" s="1"/>
  <c r="AE30" i="117" s="1"/>
  <c r="AG30" i="117" s="1"/>
  <c r="AD11" i="117"/>
  <c r="Z11" i="117" s="1"/>
  <c r="AE11" i="117" s="1"/>
  <c r="AG11" i="117" s="1"/>
  <c r="AD34" i="117"/>
  <c r="Z34" i="117" s="1"/>
  <c r="AE34" i="117" s="1"/>
  <c r="AG34" i="117" s="1"/>
  <c r="AD35" i="117"/>
  <c r="Z35" i="117" s="1"/>
  <c r="AE35" i="117" s="1"/>
  <c r="AG35" i="117" s="1"/>
  <c r="AD42" i="117"/>
  <c r="Z42" i="117" s="1"/>
  <c r="AE42" i="117" s="1"/>
  <c r="AG42" i="117" s="1"/>
  <c r="AD43" i="117"/>
  <c r="Z43" i="117" s="1"/>
  <c r="AE43" i="117" s="1"/>
  <c r="AG43" i="117" s="1"/>
  <c r="AD36" i="117"/>
  <c r="Z36" i="117" s="1"/>
  <c r="AE36" i="117" s="1"/>
  <c r="AG36" i="117" s="1"/>
  <c r="AD16" i="117"/>
  <c r="Z16" i="117" s="1"/>
  <c r="AE16" i="117" s="1"/>
  <c r="AF16" i="117" s="1"/>
  <c r="AD37" i="117"/>
  <c r="Z37" i="117" s="1"/>
  <c r="AE37" i="117" s="1"/>
  <c r="AG37" i="117" s="1"/>
  <c r="AD23" i="117"/>
  <c r="Z23" i="117" s="1"/>
  <c r="AE23" i="117" s="1"/>
  <c r="AG23" i="117" s="1"/>
  <c r="AD44" i="117"/>
  <c r="Z44" i="117" s="1"/>
  <c r="AE44" i="117" s="1"/>
  <c r="AG44" i="117" s="1"/>
  <c r="AD24" i="117"/>
  <c r="Z24" i="117" s="1"/>
  <c r="AE24" i="117" s="1"/>
  <c r="AF24" i="117" s="1"/>
  <c r="AD45" i="117"/>
  <c r="Z45" i="117" s="1"/>
  <c r="AE45" i="117" s="1"/>
  <c r="AF45" i="117" s="1"/>
  <c r="AD25" i="117"/>
  <c r="Z25" i="117" s="1"/>
  <c r="AE25" i="117" s="1"/>
  <c r="AG25" i="117" s="1"/>
  <c r="AD46" i="117"/>
  <c r="Z46" i="117" s="1"/>
  <c r="AE46" i="117" s="1"/>
  <c r="AG46" i="117" s="1"/>
  <c r="S47" i="116"/>
  <c r="AD18" i="117"/>
  <c r="Z18" i="117" s="1"/>
  <c r="AE18" i="117" s="1"/>
  <c r="AG18" i="117" s="1"/>
  <c r="AD31" i="117"/>
  <c r="Z31" i="117" s="1"/>
  <c r="AE31" i="117" s="1"/>
  <c r="AG31" i="117" s="1"/>
  <c r="AD47" i="117"/>
  <c r="Z47" i="117" s="1"/>
  <c r="AE47" i="117" s="1"/>
  <c r="AF47" i="117" s="1"/>
  <c r="AD19" i="117"/>
  <c r="Z19" i="117" s="1"/>
  <c r="AE19" i="117" s="1"/>
  <c r="AG19" i="117" s="1"/>
  <c r="AD32" i="117"/>
  <c r="Z32" i="117" s="1"/>
  <c r="AE32" i="117" s="1"/>
  <c r="AG32" i="117" s="1"/>
  <c r="AD48" i="117"/>
  <c r="Z48" i="117" s="1"/>
  <c r="AE48" i="117" s="1"/>
  <c r="AF48" i="117" s="1"/>
  <c r="AD20" i="117"/>
  <c r="Z20" i="117" s="1"/>
  <c r="AE20" i="117" s="1"/>
  <c r="AG20" i="117" s="1"/>
  <c r="AD33" i="117"/>
  <c r="Z33" i="117" s="1"/>
  <c r="AE33" i="117" s="1"/>
  <c r="AF33" i="117" s="1"/>
  <c r="I49" i="117"/>
  <c r="U122" i="117" s="1"/>
  <c r="S48" i="117"/>
  <c r="S50" i="117"/>
  <c r="S47" i="117"/>
  <c r="U123" i="117"/>
  <c r="S49" i="117"/>
  <c r="N50" i="117" s="1"/>
  <c r="E48" i="117"/>
  <c r="I51" i="117"/>
  <c r="AD17" i="117"/>
  <c r="Z17" i="117" s="1"/>
  <c r="AE17" i="117" s="1"/>
  <c r="AF17" i="117" s="1"/>
  <c r="AD27" i="117"/>
  <c r="Z27" i="117" s="1"/>
  <c r="AE27" i="117" s="1"/>
  <c r="AF27" i="117" s="1"/>
  <c r="AD39" i="117"/>
  <c r="Z39" i="117" s="1"/>
  <c r="AE39" i="117" s="1"/>
  <c r="AF39" i="117" s="1"/>
  <c r="I48" i="117"/>
  <c r="AD51" i="117"/>
  <c r="Z51" i="117" s="1"/>
  <c r="AE51" i="117" s="1"/>
  <c r="AG51" i="117" s="1"/>
  <c r="S48" i="116"/>
  <c r="AD40" i="117"/>
  <c r="Z40" i="117" s="1"/>
  <c r="AE40" i="117" s="1"/>
  <c r="AG40" i="117" s="1"/>
  <c r="AD29" i="117"/>
  <c r="Z29" i="117" s="1"/>
  <c r="AE29" i="117" s="1"/>
  <c r="AG29" i="117" s="1"/>
  <c r="AD41" i="117"/>
  <c r="Z41" i="117" s="1"/>
  <c r="AE41" i="117" s="1"/>
  <c r="AG41" i="117" s="1"/>
  <c r="AD52" i="117"/>
  <c r="Z52" i="117" s="1"/>
  <c r="AE52" i="117" s="1"/>
  <c r="AG52" i="117" s="1"/>
  <c r="AF6" i="116"/>
  <c r="Q69" i="117"/>
  <c r="P70" i="117"/>
  <c r="P72" i="117" s="1"/>
  <c r="Q71" i="117"/>
  <c r="S50" i="116"/>
  <c r="AF11" i="116"/>
  <c r="AF7" i="116"/>
  <c r="AG4" i="117"/>
  <c r="AF4" i="117"/>
  <c r="AG21" i="116"/>
  <c r="AF26" i="117"/>
  <c r="AF51" i="116"/>
  <c r="AG15" i="116"/>
  <c r="AF15" i="116"/>
  <c r="AG49" i="117"/>
  <c r="AF49" i="117"/>
  <c r="AG3" i="116"/>
  <c r="AG9" i="116"/>
  <c r="AF9" i="116"/>
  <c r="AF25" i="116"/>
  <c r="AG38" i="117"/>
  <c r="AF38" i="117"/>
  <c r="AF33" i="116"/>
  <c r="AG34" i="116"/>
  <c r="AF34" i="116"/>
  <c r="AG14" i="117"/>
  <c r="AF14" i="117"/>
  <c r="AF31" i="117"/>
  <c r="AG10" i="117"/>
  <c r="AG24" i="116"/>
  <c r="AG10" i="116"/>
  <c r="AF10" i="116"/>
  <c r="AG35" i="116"/>
  <c r="AG42" i="116"/>
  <c r="AF42" i="116"/>
  <c r="AG43" i="116"/>
  <c r="AF43" i="116"/>
  <c r="U116" i="116"/>
  <c r="AF50" i="117"/>
  <c r="AG50" i="117"/>
  <c r="AG19" i="116"/>
  <c r="P75" i="116"/>
  <c r="P82" i="116"/>
  <c r="U68" i="116"/>
  <c r="U75" i="116"/>
  <c r="U82" i="116"/>
  <c r="P75" i="117"/>
  <c r="P82" i="117"/>
  <c r="Q69" i="116"/>
  <c r="U68" i="117"/>
  <c r="U75" i="117"/>
  <c r="U82" i="117"/>
  <c r="P70" i="116"/>
  <c r="P72" i="116" s="1"/>
  <c r="F22" i="116" s="1"/>
  <c r="Q70" i="116"/>
  <c r="S49" i="116"/>
  <c r="N50" i="116" s="1"/>
  <c r="E49" i="116" s="1"/>
  <c r="AG9" i="117" l="1"/>
  <c r="AG33" i="117"/>
  <c r="U121" i="116"/>
  <c r="U112" i="116" s="1"/>
  <c r="AF26" i="116"/>
  <c r="AF31" i="116"/>
  <c r="AF27" i="116"/>
  <c r="AF16" i="116"/>
  <c r="AF4" i="116"/>
  <c r="AG8" i="116"/>
  <c r="AG39" i="117"/>
  <c r="AF52" i="116"/>
  <c r="AG12" i="116"/>
  <c r="AF45" i="116"/>
  <c r="AF13" i="116"/>
  <c r="AF20" i="116"/>
  <c r="AF44" i="116"/>
  <c r="AF49" i="116"/>
  <c r="AF39" i="116"/>
  <c r="AG14" i="116"/>
  <c r="AG41" i="116"/>
  <c r="AG5" i="116"/>
  <c r="AG6" i="117"/>
  <c r="AF7" i="117"/>
  <c r="O52" i="116"/>
  <c r="AG36" i="116"/>
  <c r="AF38" i="116"/>
  <c r="AF35" i="117"/>
  <c r="AF13" i="117"/>
  <c r="AF23" i="117"/>
  <c r="AF37" i="116"/>
  <c r="AF43" i="117"/>
  <c r="AF18" i="116"/>
  <c r="AG45" i="117"/>
  <c r="AF41" i="117"/>
  <c r="AF30" i="117"/>
  <c r="AG22" i="116"/>
  <c r="AF19" i="117"/>
  <c r="AG32" i="116"/>
  <c r="AF23" i="116"/>
  <c r="AG21" i="117"/>
  <c r="AF37" i="117"/>
  <c r="AG16" i="117"/>
  <c r="AF22" i="117"/>
  <c r="AG48" i="116"/>
  <c r="AF47" i="116"/>
  <c r="AF40" i="116"/>
  <c r="AF42" i="117"/>
  <c r="AG46" i="116"/>
  <c r="AF5" i="117"/>
  <c r="AF30" i="116"/>
  <c r="AF29" i="117"/>
  <c r="AF12" i="117"/>
  <c r="AF29" i="116"/>
  <c r="AF3" i="117"/>
  <c r="AG28" i="116"/>
  <c r="AF46" i="117"/>
  <c r="AF17" i="116"/>
  <c r="AF8" i="117"/>
  <c r="AG27" i="117"/>
  <c r="AG48" i="117"/>
  <c r="AF50" i="116"/>
  <c r="O14" i="116"/>
  <c r="F12" i="116" s="1"/>
  <c r="E52" i="116" s="1"/>
  <c r="E58" i="116" s="1"/>
  <c r="E22" i="116" s="1"/>
  <c r="AF28" i="117"/>
  <c r="AF25" i="117"/>
  <c r="AF11" i="117"/>
  <c r="AG47" i="117"/>
  <c r="AF52" i="117"/>
  <c r="AG15" i="117"/>
  <c r="AF36" i="117"/>
  <c r="AF32" i="117"/>
  <c r="AF34" i="117"/>
  <c r="AG17" i="117"/>
  <c r="AG24" i="117"/>
  <c r="U121" i="117"/>
  <c r="AF40" i="117"/>
  <c r="U116" i="117"/>
  <c r="AF18" i="117"/>
  <c r="AF44" i="117"/>
  <c r="AF51" i="117"/>
  <c r="AF20" i="117"/>
  <c r="O14" i="117"/>
  <c r="F12" i="117" s="1"/>
  <c r="E49" i="117"/>
  <c r="Q85" i="116"/>
  <c r="Q84" i="116"/>
  <c r="P84" i="116"/>
  <c r="P86" i="116" s="1"/>
  <c r="G24" i="116" s="1"/>
  <c r="Q83" i="116"/>
  <c r="Q78" i="116"/>
  <c r="Q77" i="116"/>
  <c r="P77" i="116"/>
  <c r="P79" i="116" s="1"/>
  <c r="G22" i="116" s="1"/>
  <c r="Q76" i="116"/>
  <c r="V84" i="117"/>
  <c r="U84" i="117"/>
  <c r="U86" i="117" s="1"/>
  <c r="V83" i="117"/>
  <c r="V85" i="117"/>
  <c r="V77" i="117"/>
  <c r="U77" i="117"/>
  <c r="U79" i="117" s="1"/>
  <c r="V78" i="117"/>
  <c r="V76" i="117"/>
  <c r="Q77" i="117"/>
  <c r="P77" i="117"/>
  <c r="P79" i="117" s="1"/>
  <c r="Q76" i="117"/>
  <c r="Q78" i="117"/>
  <c r="Q84" i="117"/>
  <c r="P84" i="117"/>
  <c r="P86" i="117" s="1"/>
  <c r="Q83" i="117"/>
  <c r="Q85" i="117"/>
  <c r="V84" i="116"/>
  <c r="U84" i="116"/>
  <c r="U86" i="116" s="1"/>
  <c r="V83" i="116"/>
  <c r="V85" i="116"/>
  <c r="V70" i="117"/>
  <c r="U70" i="117"/>
  <c r="U72" i="117" s="1"/>
  <c r="E22" i="117" s="1"/>
  <c r="V71" i="117"/>
  <c r="V69" i="117"/>
  <c r="V77" i="116"/>
  <c r="U77" i="116"/>
  <c r="U79" i="116" s="1"/>
  <c r="V76" i="116"/>
  <c r="V78" i="116"/>
  <c r="V70" i="116"/>
  <c r="U70" i="116"/>
  <c r="U72" i="116" s="1"/>
  <c r="V69" i="116"/>
  <c r="V71" i="116"/>
  <c r="U112" i="117" l="1"/>
  <c r="AG53" i="116"/>
  <c r="P15" i="116" s="1"/>
  <c r="G9" i="116" s="1"/>
  <c r="AG53" i="117"/>
  <c r="P15" i="117" s="1"/>
  <c r="G9" i="117" s="1"/>
  <c r="AF53" i="116"/>
  <c r="O15" i="116" s="1"/>
  <c r="F9" i="116" s="1"/>
  <c r="AF53" i="117"/>
  <c r="O15" i="117" s="1"/>
  <c r="F9" i="117" s="1"/>
  <c r="E52" i="117"/>
  <c r="E58" i="117" s="1"/>
  <c r="D22" i="117" s="1"/>
  <c r="O23" i="117" s="1"/>
  <c r="F24" i="117"/>
  <c r="F22" i="117"/>
  <c r="P24" i="116"/>
  <c r="P23" i="116"/>
  <c r="P25" i="116"/>
  <c r="P22" i="116"/>
  <c r="P25" i="117" l="1"/>
  <c r="P22" i="117"/>
  <c r="I22" i="117" s="1"/>
  <c r="P24" i="117"/>
  <c r="I24" i="117" s="1"/>
  <c r="O22" i="117"/>
  <c r="R22" i="117" s="1"/>
  <c r="O24" i="117"/>
  <c r="O25" i="117"/>
  <c r="H25" i="117" s="1"/>
  <c r="R23" i="117"/>
  <c r="H23" i="117"/>
  <c r="P23" i="117"/>
  <c r="S23" i="117" s="1"/>
  <c r="J25" i="116"/>
  <c r="T9" i="104" s="1"/>
  <c r="O20" i="133" s="1"/>
  <c r="S25" i="116"/>
  <c r="J23" i="116"/>
  <c r="S23" i="116"/>
  <c r="V47" i="116"/>
  <c r="V48" i="116" s="1"/>
  <c r="V49" i="116" s="1"/>
  <c r="V50" i="116" s="1"/>
  <c r="V51" i="116" s="1"/>
  <c r="G62" i="116" s="1"/>
  <c r="J24" i="116"/>
  <c r="S24" i="116"/>
  <c r="J22" i="116"/>
  <c r="S22" i="116"/>
  <c r="I25" i="117"/>
  <c r="U9" i="104" s="1"/>
  <c r="P20" i="133" s="1"/>
  <c r="S25" i="117"/>
  <c r="S22" i="117" l="1"/>
  <c r="S24" i="117"/>
  <c r="R25" i="117"/>
  <c r="N9" i="119"/>
  <c r="O10" i="115"/>
  <c r="N10" i="122"/>
  <c r="O10" i="103"/>
  <c r="O9" i="119"/>
  <c r="P10" i="115"/>
  <c r="O10" i="122"/>
  <c r="P10" i="103"/>
  <c r="I23" i="117"/>
  <c r="U8" i="104" s="1"/>
  <c r="P10" i="112"/>
  <c r="P10" i="87"/>
  <c r="P10" i="110"/>
  <c r="P10" i="107"/>
  <c r="P10" i="105"/>
  <c r="P10" i="111"/>
  <c r="P10" i="109"/>
  <c r="P10" i="108"/>
  <c r="H22" i="117"/>
  <c r="U7" i="104" s="1"/>
  <c r="P18" i="133" s="1"/>
  <c r="F19" i="104"/>
  <c r="H19" i="104" s="1"/>
  <c r="O10" i="112"/>
  <c r="O10" i="110"/>
  <c r="O10" i="87"/>
  <c r="O10" i="105"/>
  <c r="O10" i="108"/>
  <c r="O10" i="111"/>
  <c r="O10" i="107"/>
  <c r="O10" i="109"/>
  <c r="R24" i="117"/>
  <c r="H24" i="117"/>
  <c r="J59" i="116"/>
  <c r="T8" i="104"/>
  <c r="O19" i="133" s="1"/>
  <c r="F10" i="104"/>
  <c r="F11" i="116" s="1"/>
  <c r="P9" i="87" l="1"/>
  <c r="P19" i="133"/>
  <c r="P9" i="110"/>
  <c r="P9" i="108"/>
  <c r="P9" i="107"/>
  <c r="P9" i="105"/>
  <c r="O9" i="115"/>
  <c r="N8" i="119"/>
  <c r="N9" i="122"/>
  <c r="O9" i="103"/>
  <c r="O7" i="119"/>
  <c r="P8" i="115"/>
  <c r="O8" i="122"/>
  <c r="P8" i="103"/>
  <c r="P9" i="112"/>
  <c r="P9" i="115"/>
  <c r="O8" i="119"/>
  <c r="O9" i="122"/>
  <c r="P9" i="103"/>
  <c r="P9" i="109"/>
  <c r="P9" i="111"/>
  <c r="P8" i="109"/>
  <c r="P8" i="110"/>
  <c r="P8" i="112"/>
  <c r="P8" i="111"/>
  <c r="P8" i="87"/>
  <c r="P8" i="107"/>
  <c r="P8" i="108"/>
  <c r="P8" i="105"/>
  <c r="F18" i="104"/>
  <c r="O9" i="109"/>
  <c r="O9" i="112"/>
  <c r="O9" i="110"/>
  <c r="O9" i="87"/>
  <c r="O9" i="105"/>
  <c r="O9" i="107"/>
  <c r="O9" i="108"/>
  <c r="O9" i="111"/>
  <c r="O53" i="116"/>
  <c r="N55" i="116"/>
  <c r="O55" i="116" s="1"/>
  <c r="E64" i="116" s="1"/>
  <c r="D22" i="116" s="1"/>
  <c r="D36" i="103"/>
  <c r="D37" i="87"/>
  <c r="D36" i="107"/>
  <c r="D37" i="105"/>
  <c r="D36" i="109"/>
  <c r="H18" i="104" l="1"/>
  <c r="O23" i="116"/>
  <c r="O24" i="116"/>
  <c r="O25" i="116"/>
  <c r="O22" i="116"/>
  <c r="D37" i="108"/>
  <c r="R22" i="116" l="1"/>
  <c r="I22" i="116"/>
  <c r="R24" i="116"/>
  <c r="I24" i="116"/>
  <c r="I25" i="116"/>
  <c r="R25" i="116"/>
  <c r="I23" i="116"/>
  <c r="R23" i="116"/>
  <c r="O16" i="104"/>
  <c r="J58" i="116" l="1"/>
  <c r="T7" i="104"/>
  <c r="O18" i="133" s="1"/>
  <c r="D12" i="133" s="1"/>
  <c r="D7" i="133" s="1"/>
  <c r="D141" i="133" l="1"/>
  <c r="D159" i="133" s="1"/>
  <c r="D163" i="133" s="1"/>
  <c r="N48" i="133"/>
  <c r="D48" i="133" s="1"/>
  <c r="D59" i="133" s="1"/>
  <c r="D63" i="133" s="1"/>
  <c r="D94" i="133"/>
  <c r="O8" i="115"/>
  <c r="D5" i="115" s="1"/>
  <c r="N7" i="119"/>
  <c r="D5" i="119" s="1"/>
  <c r="D100" i="119" s="1"/>
  <c r="D101" i="119" s="1"/>
  <c r="N8" i="122"/>
  <c r="D5" i="122" s="1"/>
  <c r="D100" i="122" s="1"/>
  <c r="D101" i="122" s="1"/>
  <c r="O8" i="103"/>
  <c r="D5" i="103" s="1"/>
  <c r="F17" i="104"/>
  <c r="O8" i="112"/>
  <c r="D5" i="112" s="1"/>
  <c r="O8" i="110"/>
  <c r="D5" i="110" s="1"/>
  <c r="O8" i="87"/>
  <c r="D5" i="87" s="1"/>
  <c r="O8" i="105"/>
  <c r="D5" i="105" s="1"/>
  <c r="O8" i="108"/>
  <c r="D5" i="108" s="1"/>
  <c r="O8" i="111"/>
  <c r="D5" i="111" s="1"/>
  <c r="O8" i="107"/>
  <c r="D5" i="107" s="1"/>
  <c r="O8" i="109"/>
  <c r="D5" i="109" s="1"/>
  <c r="J111" i="115"/>
  <c r="D77" i="115"/>
  <c r="D74" i="115"/>
  <c r="D73" i="115"/>
  <c r="D131" i="115"/>
  <c r="E131" i="115" s="1"/>
  <c r="F114" i="115"/>
  <c r="J112" i="115"/>
  <c r="J113" i="115" s="1"/>
  <c r="E104" i="115"/>
  <c r="P42" i="115"/>
  <c r="D40" i="115"/>
  <c r="P40" i="115" s="1"/>
  <c r="B33" i="115"/>
  <c r="D126" i="112"/>
  <c r="E127" i="112" s="1"/>
  <c r="D77" i="112"/>
  <c r="D74" i="112"/>
  <c r="D73" i="112"/>
  <c r="E126" i="112"/>
  <c r="N127" i="112"/>
  <c r="D128" i="112" s="1"/>
  <c r="D17" i="112" s="1"/>
  <c r="E109" i="112"/>
  <c r="E106" i="112"/>
  <c r="D42" i="112"/>
  <c r="D41" i="112"/>
  <c r="P42" i="112" s="1"/>
  <c r="B35" i="112"/>
  <c r="J111" i="111"/>
  <c r="J112" i="111"/>
  <c r="J113" i="111" s="1"/>
  <c r="B33" i="111"/>
  <c r="P42" i="111"/>
  <c r="D40" i="111"/>
  <c r="P40" i="111" s="1"/>
  <c r="D131" i="111"/>
  <c r="E131" i="111" s="1"/>
  <c r="D70" i="111"/>
  <c r="D69" i="111"/>
  <c r="D72" i="111"/>
  <c r="D72" i="110"/>
  <c r="B35" i="110"/>
  <c r="D42" i="110"/>
  <c r="P44" i="110" s="1"/>
  <c r="D41" i="110"/>
  <c r="P42" i="110" s="1"/>
  <c r="D126" i="110"/>
  <c r="N127" i="110" s="1"/>
  <c r="D70" i="110"/>
  <c r="D69" i="110"/>
  <c r="D175" i="109"/>
  <c r="E175" i="109" s="1"/>
  <c r="D97" i="109"/>
  <c r="D70" i="109"/>
  <c r="D69" i="109"/>
  <c r="U116" i="109"/>
  <c r="U115" i="109"/>
  <c r="U114" i="109"/>
  <c r="U108" i="109"/>
  <c r="U107" i="109"/>
  <c r="U106" i="109"/>
  <c r="U99" i="109"/>
  <c r="U98" i="109"/>
  <c r="U97" i="109"/>
  <c r="O93" i="109"/>
  <c r="R107" i="109" s="1"/>
  <c r="R42" i="109"/>
  <c r="D115" i="109" s="1"/>
  <c r="F43" i="109"/>
  <c r="R41" i="109"/>
  <c r="D107" i="109" s="1"/>
  <c r="F42" i="109"/>
  <c r="R40" i="109"/>
  <c r="D114" i="109" s="1"/>
  <c r="D39" i="109"/>
  <c r="F38" i="109"/>
  <c r="F40" i="109" s="1"/>
  <c r="D38" i="109"/>
  <c r="D37" i="109"/>
  <c r="R35" i="109"/>
  <c r="O35" i="109"/>
  <c r="D35" i="109"/>
  <c r="R34" i="109"/>
  <c r="D34" i="109"/>
  <c r="O29" i="109"/>
  <c r="R39" i="109" s="1"/>
  <c r="D106" i="109" s="1"/>
  <c r="O28" i="109"/>
  <c r="D33" i="109" s="1"/>
  <c r="Y18" i="109"/>
  <c r="W18" i="109"/>
  <c r="Y17" i="109"/>
  <c r="W17" i="109"/>
  <c r="W16" i="109"/>
  <c r="D6" i="109"/>
  <c r="D72" i="109" s="1"/>
  <c r="R42" i="103"/>
  <c r="R41" i="103"/>
  <c r="R40" i="103"/>
  <c r="R43" i="105"/>
  <c r="R42" i="105"/>
  <c r="R41" i="105"/>
  <c r="R42" i="107"/>
  <c r="D115" i="107" s="1"/>
  <c r="R41" i="107"/>
  <c r="D107" i="107" s="1"/>
  <c r="R40" i="107"/>
  <c r="D114" i="107" s="1"/>
  <c r="R43" i="108"/>
  <c r="D115" i="108" s="1"/>
  <c r="R42" i="108"/>
  <c r="D107" i="108" s="1"/>
  <c r="R41" i="108"/>
  <c r="D114" i="108" s="1"/>
  <c r="D70" i="108"/>
  <c r="D69" i="108"/>
  <c r="D148" i="108"/>
  <c r="E148" i="108" s="1"/>
  <c r="U116" i="108"/>
  <c r="U115" i="108"/>
  <c r="U114" i="108"/>
  <c r="U108" i="108"/>
  <c r="U107" i="108"/>
  <c r="U106" i="108"/>
  <c r="U99" i="108"/>
  <c r="U98" i="108"/>
  <c r="U97" i="108"/>
  <c r="D97" i="108"/>
  <c r="O93" i="108"/>
  <c r="Q115" i="108" s="1"/>
  <c r="D40" i="108"/>
  <c r="D39" i="108"/>
  <c r="D38" i="108"/>
  <c r="R36" i="108"/>
  <c r="O36" i="108"/>
  <c r="O45" i="108" s="1"/>
  <c r="D45" i="108" s="1"/>
  <c r="D100" i="108" s="1"/>
  <c r="D36" i="108"/>
  <c r="R35" i="108"/>
  <c r="D35" i="108"/>
  <c r="O30" i="108"/>
  <c r="R40" i="108" s="1"/>
  <c r="D106" i="108" s="1"/>
  <c r="O29" i="108"/>
  <c r="Y18" i="108"/>
  <c r="W18" i="108"/>
  <c r="Y17" i="108"/>
  <c r="W17" i="108"/>
  <c r="W16" i="108"/>
  <c r="D6" i="108"/>
  <c r="D72" i="108" s="1"/>
  <c r="D97" i="107"/>
  <c r="D175" i="107"/>
  <c r="D176" i="107" s="1"/>
  <c r="D74" i="107"/>
  <c r="D73" i="107"/>
  <c r="D6" i="107"/>
  <c r="D77" i="107" s="1"/>
  <c r="D39" i="107"/>
  <c r="D38" i="107"/>
  <c r="D37" i="107"/>
  <c r="D35" i="107"/>
  <c r="D34" i="107"/>
  <c r="E154" i="107"/>
  <c r="U116" i="107"/>
  <c r="U115" i="107"/>
  <c r="U114" i="107"/>
  <c r="U108" i="107"/>
  <c r="U107" i="107"/>
  <c r="U106" i="107"/>
  <c r="U99" i="107"/>
  <c r="U98" i="107"/>
  <c r="U97" i="107"/>
  <c r="O93" i="107"/>
  <c r="R107" i="107" s="1"/>
  <c r="F43" i="107"/>
  <c r="F42" i="107"/>
  <c r="F38" i="107"/>
  <c r="F41" i="107" s="1"/>
  <c r="R35" i="107"/>
  <c r="O35" i="107"/>
  <c r="R34" i="107"/>
  <c r="O29" i="107"/>
  <c r="Y16" i="107" s="1"/>
  <c r="O28" i="107"/>
  <c r="D33" i="107" s="1"/>
  <c r="Y18" i="107"/>
  <c r="Y4" i="107" s="1"/>
  <c r="W18" i="107"/>
  <c r="Y17" i="107"/>
  <c r="W17" i="107"/>
  <c r="W16" i="107"/>
  <c r="D148" i="105"/>
  <c r="N148" i="105" s="1"/>
  <c r="D108" i="133" l="1"/>
  <c r="D123" i="133" s="1"/>
  <c r="D129" i="133"/>
  <c r="G135" i="133" s="1"/>
  <c r="D82" i="133"/>
  <c r="D85" i="133" s="1"/>
  <c r="D74" i="133"/>
  <c r="D173" i="133"/>
  <c r="D175" i="133" s="1"/>
  <c r="R159" i="133" s="1"/>
  <c r="D258" i="133" s="1"/>
  <c r="D264" i="133" s="1"/>
  <c r="R158" i="133"/>
  <c r="Y16" i="109"/>
  <c r="AA8" i="109" s="1"/>
  <c r="N113" i="122"/>
  <c r="Q113" i="122" s="1"/>
  <c r="D110" i="122" s="1"/>
  <c r="N112" i="122"/>
  <c r="Q111" i="122" s="1"/>
  <c r="D108" i="122" s="1"/>
  <c r="N111" i="122"/>
  <c r="N114" i="122"/>
  <c r="N113" i="119"/>
  <c r="Q113" i="119" s="1"/>
  <c r="D110" i="119" s="1"/>
  <c r="N114" i="119"/>
  <c r="N111" i="119"/>
  <c r="N112" i="119"/>
  <c r="Q111" i="119" s="1"/>
  <c r="D108" i="119" s="1"/>
  <c r="W7" i="108"/>
  <c r="H17" i="104"/>
  <c r="D43" i="112"/>
  <c r="D44" i="112" s="1"/>
  <c r="D97" i="112" s="1"/>
  <c r="W4" i="107"/>
  <c r="W8" i="109"/>
  <c r="Y7" i="108"/>
  <c r="W4" i="108"/>
  <c r="W6" i="109"/>
  <c r="Y8" i="107"/>
  <c r="R115" i="108"/>
  <c r="Y6" i="108"/>
  <c r="R98" i="108"/>
  <c r="W6" i="107"/>
  <c r="D112" i="111"/>
  <c r="D115" i="111" s="1"/>
  <c r="O44" i="107"/>
  <c r="D45" i="107" s="1"/>
  <c r="D100" i="107" s="1"/>
  <c r="Q98" i="108"/>
  <c r="O44" i="109"/>
  <c r="D45" i="109" s="1"/>
  <c r="D100" i="109" s="1"/>
  <c r="N149" i="105"/>
  <c r="D150" i="105" s="1"/>
  <c r="E176" i="107"/>
  <c r="AA7" i="109"/>
  <c r="E176" i="109"/>
  <c r="D41" i="115"/>
  <c r="D42" i="115" s="1"/>
  <c r="W4" i="109"/>
  <c r="E148" i="105"/>
  <c r="D127" i="112"/>
  <c r="Y4" i="109"/>
  <c r="E149" i="105"/>
  <c r="N176" i="107"/>
  <c r="D177" i="107" s="1"/>
  <c r="D17" i="107" s="1"/>
  <c r="D112" i="115"/>
  <c r="D115" i="115" s="1"/>
  <c r="Y8" i="108"/>
  <c r="D149" i="105"/>
  <c r="E175" i="107"/>
  <c r="Y5" i="108"/>
  <c r="Q107" i="108"/>
  <c r="Y6" i="109"/>
  <c r="N175" i="107"/>
  <c r="R107" i="108"/>
  <c r="R39" i="107"/>
  <c r="D106" i="107" s="1"/>
  <c r="D108" i="107" s="1"/>
  <c r="N108" i="107" s="1"/>
  <c r="T107" i="107" s="1"/>
  <c r="AA6" i="109"/>
  <c r="F41" i="109"/>
  <c r="Y16" i="108"/>
  <c r="W6" i="108" s="1"/>
  <c r="F40" i="107"/>
  <c r="F44" i="107" s="1"/>
  <c r="D145" i="107" s="1"/>
  <c r="D116" i="108"/>
  <c r="O118" i="108" s="1"/>
  <c r="N131" i="115"/>
  <c r="D132" i="115"/>
  <c r="E132" i="115"/>
  <c r="N132" i="115"/>
  <c r="D133" i="115" s="1"/>
  <c r="D17" i="115" s="1"/>
  <c r="P44" i="115"/>
  <c r="P40" i="112"/>
  <c r="P44" i="112"/>
  <c r="N126" i="112"/>
  <c r="P44" i="111"/>
  <c r="D41" i="111"/>
  <c r="D39" i="111" s="1"/>
  <c r="N131" i="111"/>
  <c r="E132" i="111"/>
  <c r="D132" i="111"/>
  <c r="N132" i="111"/>
  <c r="P40" i="110"/>
  <c r="E126" i="110"/>
  <c r="D127" i="110"/>
  <c r="E127" i="110"/>
  <c r="D43" i="110"/>
  <c r="F44" i="109"/>
  <c r="D145" i="109" s="1"/>
  <c r="N126" i="110"/>
  <c r="D128" i="110" s="1"/>
  <c r="D17" i="110" s="1"/>
  <c r="D108" i="109"/>
  <c r="Q110" i="109" s="1"/>
  <c r="D116" i="109"/>
  <c r="O116" i="109" s="1"/>
  <c r="N175" i="109"/>
  <c r="D176" i="109"/>
  <c r="N176" i="109"/>
  <c r="Y8" i="109"/>
  <c r="T114" i="109"/>
  <c r="W7" i="109"/>
  <c r="T97" i="109"/>
  <c r="T106" i="109"/>
  <c r="Q98" i="109"/>
  <c r="Q107" i="109"/>
  <c r="Y5" i="109"/>
  <c r="Y7" i="109"/>
  <c r="Q115" i="109"/>
  <c r="R115" i="109"/>
  <c r="R98" i="109"/>
  <c r="AA7" i="108"/>
  <c r="N149" i="108"/>
  <c r="E149" i="108"/>
  <c r="D149" i="108"/>
  <c r="N148" i="108"/>
  <c r="W8" i="108"/>
  <c r="D108" i="108"/>
  <c r="T114" i="108"/>
  <c r="T97" i="108"/>
  <c r="T106" i="108"/>
  <c r="Y4" i="108"/>
  <c r="Y5" i="107"/>
  <c r="AA6" i="107"/>
  <c r="Q115" i="107"/>
  <c r="W8" i="107"/>
  <c r="D116" i="107"/>
  <c r="W7" i="107"/>
  <c r="W5" i="107"/>
  <c r="AA8" i="107"/>
  <c r="T114" i="107"/>
  <c r="Y7" i="107"/>
  <c r="AA5" i="107"/>
  <c r="AA7" i="107"/>
  <c r="T97" i="107"/>
  <c r="T106" i="107"/>
  <c r="R115" i="107"/>
  <c r="Y6" i="107"/>
  <c r="Q98" i="107"/>
  <c r="Q107" i="107"/>
  <c r="AA4" i="107"/>
  <c r="R98" i="107"/>
  <c r="D178" i="133" l="1"/>
  <c r="D263" i="133" s="1"/>
  <c r="R160" i="133"/>
  <c r="S160" i="133" s="1"/>
  <c r="D266" i="133"/>
  <c r="G74" i="133"/>
  <c r="E74" i="133"/>
  <c r="N47" i="133"/>
  <c r="J40" i="133" s="1"/>
  <c r="K40" i="133" s="1"/>
  <c r="H135" i="133"/>
  <c r="J135" i="133"/>
  <c r="E85" i="133"/>
  <c r="G85" i="133"/>
  <c r="R134" i="133"/>
  <c r="R135" i="133"/>
  <c r="G134" i="133" s="1"/>
  <c r="AA5" i="109"/>
  <c r="W5" i="109"/>
  <c r="AA4" i="109"/>
  <c r="AA11" i="109" s="1"/>
  <c r="AA13" i="109" s="1"/>
  <c r="Y12" i="109" s="1"/>
  <c r="N134" i="119"/>
  <c r="N118" i="119"/>
  <c r="N117" i="119"/>
  <c r="Q117" i="119" s="1"/>
  <c r="D119" i="119" s="1"/>
  <c r="N128" i="119"/>
  <c r="N129" i="119"/>
  <c r="Q128" i="119" s="1"/>
  <c r="D129" i="119" s="1"/>
  <c r="N135" i="119"/>
  <c r="D150" i="108"/>
  <c r="D17" i="108" s="1"/>
  <c r="D133" i="111"/>
  <c r="D17" i="111" s="1"/>
  <c r="D78" i="112"/>
  <c r="D76" i="112" s="1"/>
  <c r="N137" i="119"/>
  <c r="N131" i="119"/>
  <c r="N136" i="119"/>
  <c r="Q136" i="119" s="1"/>
  <c r="I135" i="119" s="1"/>
  <c r="N119" i="119"/>
  <c r="N130" i="119"/>
  <c r="Q130" i="119" s="1"/>
  <c r="I129" i="119" s="1"/>
  <c r="N120" i="119"/>
  <c r="N129" i="122"/>
  <c r="Q128" i="122" s="1"/>
  <c r="D129" i="122" s="1"/>
  <c r="N118" i="122"/>
  <c r="Q117" i="122" s="1"/>
  <c r="D119" i="122" s="1"/>
  <c r="N128" i="122"/>
  <c r="N134" i="122"/>
  <c r="N135" i="122"/>
  <c r="Q134" i="122" s="1"/>
  <c r="D135" i="122" s="1"/>
  <c r="N117" i="122"/>
  <c r="N137" i="122"/>
  <c r="N131" i="122"/>
  <c r="N119" i="122"/>
  <c r="Q119" i="122" s="1"/>
  <c r="I119" i="122" s="1"/>
  <c r="N136" i="122"/>
  <c r="Q136" i="122" s="1"/>
  <c r="I135" i="122" s="1"/>
  <c r="N130" i="122"/>
  <c r="Q130" i="122" s="1"/>
  <c r="I129" i="122" s="1"/>
  <c r="N120" i="122"/>
  <c r="D177" i="109"/>
  <c r="D17" i="109" s="1"/>
  <c r="D39" i="115"/>
  <c r="D43" i="115" s="1"/>
  <c r="D78" i="115" s="1"/>
  <c r="D76" i="115" s="1"/>
  <c r="S110" i="109"/>
  <c r="U110" i="109" s="1"/>
  <c r="G106" i="109" s="1"/>
  <c r="O108" i="109"/>
  <c r="O116" i="108"/>
  <c r="N116" i="108"/>
  <c r="T115" i="108" s="1"/>
  <c r="Q118" i="108"/>
  <c r="S118" i="108" s="1"/>
  <c r="U118" i="108" s="1"/>
  <c r="G114" i="108" s="1"/>
  <c r="AA5" i="108"/>
  <c r="AA6" i="108"/>
  <c r="W5" i="108"/>
  <c r="AA10" i="108" s="1"/>
  <c r="AA12" i="108" s="1"/>
  <c r="O34" i="108" s="1"/>
  <c r="O43" i="108" s="1"/>
  <c r="AA8" i="108"/>
  <c r="AA4" i="108"/>
  <c r="N118" i="108"/>
  <c r="T116" i="108" s="1"/>
  <c r="O118" i="109"/>
  <c r="N110" i="109"/>
  <c r="T108" i="109" s="1"/>
  <c r="N116" i="109"/>
  <c r="T115" i="109" s="1"/>
  <c r="Q118" i="109"/>
  <c r="S118" i="109" s="1"/>
  <c r="O110" i="109"/>
  <c r="N118" i="109"/>
  <c r="T116" i="109" s="1"/>
  <c r="N108" i="109"/>
  <c r="T107" i="109" s="1"/>
  <c r="D42" i="111"/>
  <c r="D43" i="111" s="1"/>
  <c r="D44" i="111" s="1"/>
  <c r="D97" i="111" s="1"/>
  <c r="D44" i="110"/>
  <c r="D97" i="110" s="1"/>
  <c r="D73" i="110"/>
  <c r="Q110" i="107"/>
  <c r="S110" i="107" s="1"/>
  <c r="AA10" i="109"/>
  <c r="AA12" i="109" s="1"/>
  <c r="W14" i="109" s="1"/>
  <c r="O108" i="108"/>
  <c r="Q110" i="108"/>
  <c r="S110" i="108" s="1"/>
  <c r="N108" i="108"/>
  <c r="T107" i="108" s="1"/>
  <c r="O110" i="108"/>
  <c r="N110" i="108"/>
  <c r="T108" i="108" s="1"/>
  <c r="AA10" i="107"/>
  <c r="AA12" i="107" s="1"/>
  <c r="W14" i="107" s="1"/>
  <c r="O108" i="107"/>
  <c r="N110" i="107"/>
  <c r="T108" i="107" s="1"/>
  <c r="O110" i="107"/>
  <c r="AA11" i="107"/>
  <c r="AA13" i="107" s="1"/>
  <c r="Y14" i="107" s="1"/>
  <c r="N118" i="107"/>
  <c r="T116" i="107" s="1"/>
  <c r="Q118" i="107"/>
  <c r="S118" i="107" s="1"/>
  <c r="N116" i="107"/>
  <c r="T115" i="107" s="1"/>
  <c r="O118" i="107"/>
  <c r="O116" i="107"/>
  <c r="N95" i="133" l="1"/>
  <c r="J41" i="133" s="1"/>
  <c r="K41" i="133" s="1"/>
  <c r="J134" i="133"/>
  <c r="H134" i="133"/>
  <c r="E266" i="133"/>
  <c r="N138" i="133"/>
  <c r="J42" i="133" s="1"/>
  <c r="K42" i="133" s="1"/>
  <c r="G266" i="133"/>
  <c r="D132" i="122"/>
  <c r="D13" i="122" s="1"/>
  <c r="D216" i="122" s="1"/>
  <c r="D222" i="122" s="1"/>
  <c r="G222" i="122" s="1"/>
  <c r="D138" i="122"/>
  <c r="D15" i="122" s="1"/>
  <c r="D42" i="122" s="1"/>
  <c r="G42" i="122" s="1"/>
  <c r="Q119" i="119"/>
  <c r="I119" i="119" s="1"/>
  <c r="D122" i="119" s="1"/>
  <c r="D126" i="119" s="1"/>
  <c r="Y10" i="109"/>
  <c r="Y13" i="109"/>
  <c r="Y11" i="109"/>
  <c r="O32" i="109"/>
  <c r="O41" i="109" s="1"/>
  <c r="D42" i="109" s="1"/>
  <c r="Y14" i="109"/>
  <c r="D122" i="122"/>
  <c r="D126" i="122" s="1"/>
  <c r="D132" i="119"/>
  <c r="Q134" i="119"/>
  <c r="D135" i="119" s="1"/>
  <c r="D138" i="119" s="1"/>
  <c r="D15" i="119" s="1"/>
  <c r="D44" i="115"/>
  <c r="D97" i="115" s="1"/>
  <c r="T110" i="109"/>
  <c r="D109" i="109" s="1"/>
  <c r="D110" i="109" s="1"/>
  <c r="W10" i="107"/>
  <c r="W12" i="107"/>
  <c r="Y11" i="107"/>
  <c r="W11" i="107"/>
  <c r="T118" i="108"/>
  <c r="D117" i="108" s="1"/>
  <c r="D118" i="108" s="1"/>
  <c r="AA11" i="108"/>
  <c r="AA13" i="108" s="1"/>
  <c r="Y13" i="108" s="1"/>
  <c r="W14" i="108"/>
  <c r="W11" i="108"/>
  <c r="W12" i="108"/>
  <c r="W13" i="108"/>
  <c r="W10" i="108"/>
  <c r="D73" i="111"/>
  <c r="O33" i="109"/>
  <c r="O42" i="109" s="1"/>
  <c r="D43" i="109" s="1"/>
  <c r="W12" i="109"/>
  <c r="W10" i="109"/>
  <c r="W11" i="109"/>
  <c r="U118" i="109"/>
  <c r="G114" i="109" s="1"/>
  <c r="T118" i="109"/>
  <c r="D117" i="109" s="1"/>
  <c r="D118" i="109" s="1"/>
  <c r="W13" i="109"/>
  <c r="U110" i="108"/>
  <c r="G106" i="108" s="1"/>
  <c r="T110" i="108"/>
  <c r="D109" i="108" s="1"/>
  <c r="D110" i="108" s="1"/>
  <c r="O33" i="107"/>
  <c r="O42" i="107" s="1"/>
  <c r="D43" i="107" s="1"/>
  <c r="Y10" i="107"/>
  <c r="W13" i="107"/>
  <c r="Y13" i="107"/>
  <c r="U118" i="107"/>
  <c r="G114" i="107" s="1"/>
  <c r="T118" i="107"/>
  <c r="D117" i="107" s="1"/>
  <c r="D118" i="107" s="1"/>
  <c r="T110" i="107"/>
  <c r="D109" i="107" s="1"/>
  <c r="D110" i="107" s="1"/>
  <c r="U110" i="107"/>
  <c r="G106" i="107" s="1"/>
  <c r="O32" i="107"/>
  <c r="O41" i="107" s="1"/>
  <c r="D42" i="107" s="1"/>
  <c r="Y12" i="107"/>
  <c r="F227" i="122" l="1"/>
  <c r="D228" i="122" s="1"/>
  <c r="E222" i="122"/>
  <c r="D39" i="122"/>
  <c r="G39" i="122" s="1"/>
  <c r="F42" i="122"/>
  <c r="D252" i="122"/>
  <c r="D264" i="122" s="1"/>
  <c r="AA15" i="109"/>
  <c r="O31" i="109" s="1"/>
  <c r="O40" i="109" s="1"/>
  <c r="D41" i="109" s="1"/>
  <c r="D98" i="109" s="1"/>
  <c r="D163" i="119"/>
  <c r="D13" i="119"/>
  <c r="D34" i="119"/>
  <c r="D206" i="119"/>
  <c r="D218" i="119" s="1"/>
  <c r="E228" i="122"/>
  <c r="G228" i="122"/>
  <c r="AA14" i="107"/>
  <c r="O30" i="107" s="1"/>
  <c r="O34" i="107" s="1"/>
  <c r="O43" i="107" s="1"/>
  <c r="D44" i="107" s="1"/>
  <c r="D99" i="107" s="1"/>
  <c r="Y10" i="108"/>
  <c r="AA15" i="107"/>
  <c r="O31" i="107" s="1"/>
  <c r="O40" i="107" s="1"/>
  <c r="D41" i="107" s="1"/>
  <c r="D98" i="107" s="1"/>
  <c r="O33" i="108"/>
  <c r="O42" i="108" s="1"/>
  <c r="D43" i="108" s="1"/>
  <c r="Y12" i="108"/>
  <c r="Y11" i="108"/>
  <c r="Y14" i="108"/>
  <c r="AA14" i="108"/>
  <c r="O31" i="108" s="1"/>
  <c r="AA14" i="109"/>
  <c r="O30" i="109" s="1"/>
  <c r="F39" i="122" l="1"/>
  <c r="F40" i="122" s="1"/>
  <c r="G40" i="122" s="1"/>
  <c r="G264" i="122"/>
  <c r="E264" i="122"/>
  <c r="J41" i="109"/>
  <c r="G218" i="119"/>
  <c r="E218" i="119"/>
  <c r="G34" i="119"/>
  <c r="F34" i="119"/>
  <c r="D175" i="119"/>
  <c r="D31" i="119"/>
  <c r="O39" i="107"/>
  <c r="D40" i="107" s="1"/>
  <c r="J40" i="107" s="1"/>
  <c r="AA15" i="108"/>
  <c r="O32" i="108" s="1"/>
  <c r="O41" i="108" s="1"/>
  <c r="D42" i="108" s="1"/>
  <c r="D98" i="108" s="1"/>
  <c r="J41" i="107"/>
  <c r="O40" i="108"/>
  <c r="D41" i="108" s="1"/>
  <c r="D73" i="108" s="1"/>
  <c r="O35" i="108"/>
  <c r="O44" i="108" s="1"/>
  <c r="D44" i="108" s="1"/>
  <c r="D99" i="108" s="1"/>
  <c r="I97" i="107"/>
  <c r="Q101" i="107" s="1"/>
  <c r="S101" i="107" s="1"/>
  <c r="O39" i="109"/>
  <c r="D40" i="109" s="1"/>
  <c r="O34" i="109"/>
  <c r="O43" i="109" s="1"/>
  <c r="D44" i="109" s="1"/>
  <c r="D99" i="109" s="1"/>
  <c r="I97" i="109" s="1"/>
  <c r="F31" i="119" l="1"/>
  <c r="F32" i="119" s="1"/>
  <c r="G32" i="119" s="1"/>
  <c r="G31" i="119"/>
  <c r="E175" i="119"/>
  <c r="G175" i="119"/>
  <c r="I97" i="108"/>
  <c r="O101" i="108" s="1"/>
  <c r="O101" i="107"/>
  <c r="N101" i="107"/>
  <c r="T99" i="107" s="1"/>
  <c r="N99" i="107"/>
  <c r="T98" i="107" s="1"/>
  <c r="T101" i="107" s="1"/>
  <c r="D101" i="107" s="1"/>
  <c r="D102" i="107" s="1"/>
  <c r="D125" i="107" s="1"/>
  <c r="O99" i="107"/>
  <c r="O99" i="109"/>
  <c r="Q101" i="109"/>
  <c r="S101" i="109" s="1"/>
  <c r="N99" i="109"/>
  <c r="T98" i="109" s="1"/>
  <c r="O101" i="109"/>
  <c r="N101" i="109"/>
  <c r="T99" i="109" s="1"/>
  <c r="J40" i="109"/>
  <c r="D73" i="109" s="1"/>
  <c r="J43" i="107"/>
  <c r="J44" i="107" s="1"/>
  <c r="D78" i="107"/>
  <c r="D76" i="107" s="1"/>
  <c r="U101" i="107"/>
  <c r="G99" i="107" s="1"/>
  <c r="J43" i="109" l="1"/>
  <c r="N99" i="108"/>
  <c r="T98" i="108" s="1"/>
  <c r="Q101" i="108"/>
  <c r="S101" i="108" s="1"/>
  <c r="U101" i="108" s="1"/>
  <c r="G99" i="108" s="1"/>
  <c r="O99" i="108"/>
  <c r="N101" i="108"/>
  <c r="T99" i="108" s="1"/>
  <c r="J44" i="109"/>
  <c r="U101" i="109"/>
  <c r="G99" i="109" s="1"/>
  <c r="T101" i="109"/>
  <c r="D101" i="109" s="1"/>
  <c r="D102" i="109" s="1"/>
  <c r="D125" i="109" s="1"/>
  <c r="T101" i="108" l="1"/>
  <c r="D101" i="108" s="1"/>
  <c r="D102" i="108" s="1"/>
  <c r="D125" i="108" s="1"/>
  <c r="D74" i="105"/>
  <c r="D73" i="105"/>
  <c r="U116" i="105"/>
  <c r="U115" i="105"/>
  <c r="D115" i="105"/>
  <c r="U114" i="105"/>
  <c r="U108" i="105"/>
  <c r="U107" i="105"/>
  <c r="D107" i="105"/>
  <c r="U106" i="105"/>
  <c r="U99" i="105"/>
  <c r="U98" i="105"/>
  <c r="U97" i="105"/>
  <c r="D97" i="105"/>
  <c r="O93" i="105"/>
  <c r="R98" i="105" s="1"/>
  <c r="D114" i="105"/>
  <c r="D40" i="105"/>
  <c r="D39" i="105"/>
  <c r="D38" i="105"/>
  <c r="R36" i="105"/>
  <c r="O36" i="105"/>
  <c r="O45" i="105" s="1"/>
  <c r="D45" i="105" s="1"/>
  <c r="D100" i="105" s="1"/>
  <c r="D36" i="105"/>
  <c r="R35" i="105"/>
  <c r="D35" i="105"/>
  <c r="O30" i="105"/>
  <c r="O29" i="105"/>
  <c r="D34" i="105" s="1"/>
  <c r="Y18" i="105"/>
  <c r="W18" i="105"/>
  <c r="Y17" i="105"/>
  <c r="W17" i="105"/>
  <c r="W16" i="105"/>
  <c r="D6" i="105"/>
  <c r="D77" i="105" s="1"/>
  <c r="Y5" i="105" l="1"/>
  <c r="R40" i="105"/>
  <c r="D106" i="105" s="1"/>
  <c r="D108" i="105" s="1"/>
  <c r="O110" i="105" s="1"/>
  <c r="W8" i="105"/>
  <c r="Y4" i="105"/>
  <c r="AA7" i="105"/>
  <c r="Y7" i="105"/>
  <c r="T106" i="105"/>
  <c r="Q115" i="105"/>
  <c r="T97" i="105"/>
  <c r="R107" i="105"/>
  <c r="Y8" i="105"/>
  <c r="D116" i="105"/>
  <c r="N118" i="105" s="1"/>
  <c r="T116" i="105" s="1"/>
  <c r="W4" i="105"/>
  <c r="T114" i="105"/>
  <c r="Y6" i="105"/>
  <c r="Y16" i="105"/>
  <c r="W7" i="105"/>
  <c r="R115" i="105"/>
  <c r="Q98" i="105"/>
  <c r="Q107" i="105"/>
  <c r="O116" i="105" l="1"/>
  <c r="Q110" i="105"/>
  <c r="S110" i="105" s="1"/>
  <c r="O108" i="105"/>
  <c r="N108" i="105"/>
  <c r="T107" i="105" s="1"/>
  <c r="N110" i="105"/>
  <c r="T108" i="105" s="1"/>
  <c r="O118" i="105"/>
  <c r="D17" i="105"/>
  <c r="N116" i="105"/>
  <c r="T115" i="105" s="1"/>
  <c r="Q118" i="105"/>
  <c r="S118" i="105" s="1"/>
  <c r="AA8" i="105"/>
  <c r="W5" i="105"/>
  <c r="AA5" i="105"/>
  <c r="W6" i="105"/>
  <c r="AA6" i="105"/>
  <c r="AA4" i="105"/>
  <c r="AA10" i="105" l="1"/>
  <c r="AA12" i="105" s="1"/>
  <c r="W14" i="105" s="1"/>
  <c r="AA11" i="105"/>
  <c r="AA13" i="105" s="1"/>
  <c r="Y12" i="105" s="1"/>
  <c r="W11" i="105"/>
  <c r="U118" i="105"/>
  <c r="G114" i="105" s="1"/>
  <c r="T118" i="105"/>
  <c r="D117" i="105" s="1"/>
  <c r="D118" i="105" s="1"/>
  <c r="U110" i="105"/>
  <c r="G106" i="105" s="1"/>
  <c r="T110" i="105"/>
  <c r="D109" i="105" s="1"/>
  <c r="D110" i="105" s="1"/>
  <c r="Y14" i="105"/>
  <c r="Y11" i="105"/>
  <c r="AD1" i="104"/>
  <c r="Z1" i="104" s="1"/>
  <c r="AE1" i="104" s="1"/>
  <c r="AD2" i="104"/>
  <c r="Z2" i="104" s="1"/>
  <c r="AE2" i="104" s="1"/>
  <c r="AD3" i="104"/>
  <c r="Z3" i="104" s="1"/>
  <c r="AE3" i="104" s="1"/>
  <c r="AD4" i="104"/>
  <c r="Z4" i="104" s="1"/>
  <c r="AE4" i="104" s="1"/>
  <c r="AD5" i="104"/>
  <c r="Z5" i="104" s="1"/>
  <c r="AE5" i="104" s="1"/>
  <c r="AD6" i="104"/>
  <c r="Z6" i="104" s="1"/>
  <c r="AE6" i="104" s="1"/>
  <c r="AD7" i="104"/>
  <c r="Z7" i="104" s="1"/>
  <c r="AE7" i="104" s="1"/>
  <c r="AD8" i="104"/>
  <c r="Z8" i="104" s="1"/>
  <c r="AE8" i="104" s="1"/>
  <c r="AD9" i="104"/>
  <c r="Z9" i="104" s="1"/>
  <c r="AE9" i="104" s="1"/>
  <c r="AD10" i="104"/>
  <c r="Z10" i="104" s="1"/>
  <c r="AE10" i="104" s="1"/>
  <c r="AD11" i="104"/>
  <c r="Z11" i="104" s="1"/>
  <c r="AE11" i="104" s="1"/>
  <c r="AD12" i="104"/>
  <c r="Z12" i="104" s="1"/>
  <c r="AE12" i="104" s="1"/>
  <c r="AD13" i="104"/>
  <c r="Z13" i="104" s="1"/>
  <c r="AE13" i="104" s="1"/>
  <c r="AD14" i="104"/>
  <c r="Z14" i="104" s="1"/>
  <c r="AE14" i="104" s="1"/>
  <c r="AD15" i="104"/>
  <c r="Z15" i="104" s="1"/>
  <c r="AE15" i="104" s="1"/>
  <c r="AD16" i="104"/>
  <c r="Z16" i="104" s="1"/>
  <c r="AE16" i="104" s="1"/>
  <c r="AD17" i="104"/>
  <c r="Z17" i="104" s="1"/>
  <c r="AE17" i="104" s="1"/>
  <c r="AD18" i="104"/>
  <c r="Z18" i="104" s="1"/>
  <c r="AE18" i="104" s="1"/>
  <c r="AD19" i="104"/>
  <c r="Z19" i="104" s="1"/>
  <c r="AE19" i="104" s="1"/>
  <c r="AD20" i="104"/>
  <c r="Z20" i="104" s="1"/>
  <c r="AE20" i="104" s="1"/>
  <c r="AD22" i="104"/>
  <c r="Z22" i="104" s="1"/>
  <c r="AE22" i="104" s="1"/>
  <c r="AD23" i="104"/>
  <c r="Z23" i="104" s="1"/>
  <c r="AE23" i="104" s="1"/>
  <c r="AD24" i="104"/>
  <c r="Z24" i="104" s="1"/>
  <c r="AE24" i="104" s="1"/>
  <c r="AD25" i="104"/>
  <c r="Z25" i="104" s="1"/>
  <c r="AE25" i="104" s="1"/>
  <c r="AD26" i="104"/>
  <c r="Z26" i="104" s="1"/>
  <c r="AE26" i="104" s="1"/>
  <c r="AD27" i="104"/>
  <c r="Z27" i="104" s="1"/>
  <c r="AE27" i="104" s="1"/>
  <c r="AD28" i="104"/>
  <c r="Z28" i="104" s="1"/>
  <c r="AE28" i="104" s="1"/>
  <c r="AD29" i="104"/>
  <c r="Z29" i="104" s="1"/>
  <c r="AE29" i="104" s="1"/>
  <c r="AD30" i="104"/>
  <c r="Z30" i="104" s="1"/>
  <c r="AE30" i="104" s="1"/>
  <c r="AD31" i="104"/>
  <c r="Z31" i="104" s="1"/>
  <c r="AE31" i="104" s="1"/>
  <c r="AD32" i="104"/>
  <c r="Z32" i="104" s="1"/>
  <c r="AE32" i="104" s="1"/>
  <c r="AD33" i="104"/>
  <c r="Z33" i="104" s="1"/>
  <c r="AE33" i="104" s="1"/>
  <c r="AD34" i="104"/>
  <c r="Z34" i="104" s="1"/>
  <c r="AE34" i="104" s="1"/>
  <c r="AD35" i="104"/>
  <c r="Z35" i="104" s="1"/>
  <c r="AE35" i="104" s="1"/>
  <c r="AD36" i="104"/>
  <c r="Z36" i="104" s="1"/>
  <c r="AE36" i="104" s="1"/>
  <c r="AD37" i="104"/>
  <c r="Z37" i="104" s="1"/>
  <c r="AE37" i="104" s="1"/>
  <c r="AD38" i="104"/>
  <c r="Z38" i="104" s="1"/>
  <c r="AE38" i="104" s="1"/>
  <c r="AD39" i="104"/>
  <c r="Z39" i="104" s="1"/>
  <c r="AE39" i="104" s="1"/>
  <c r="AD40" i="104"/>
  <c r="Z40" i="104" s="1"/>
  <c r="AE40" i="104" s="1"/>
  <c r="AD41" i="104"/>
  <c r="Z41" i="104" s="1"/>
  <c r="AE41" i="104" s="1"/>
  <c r="AD42" i="104"/>
  <c r="Z42" i="104" s="1"/>
  <c r="AE42" i="104" s="1"/>
  <c r="AD43" i="104"/>
  <c r="Z43" i="104" s="1"/>
  <c r="AE43" i="104" s="1"/>
  <c r="AD44" i="104"/>
  <c r="Z44" i="104" s="1"/>
  <c r="AE44" i="104" s="1"/>
  <c r="AD45" i="104"/>
  <c r="Z45" i="104" s="1"/>
  <c r="AE45" i="104" s="1"/>
  <c r="AD46" i="104"/>
  <c r="Z46" i="104" s="1"/>
  <c r="AE46" i="104" s="1"/>
  <c r="AD47" i="104"/>
  <c r="Z47" i="104" s="1"/>
  <c r="AE47" i="104" s="1"/>
  <c r="AD48" i="104"/>
  <c r="Z48" i="104" s="1"/>
  <c r="AE48" i="104" s="1"/>
  <c r="AD49" i="104"/>
  <c r="Z49" i="104" s="1"/>
  <c r="AE49" i="104" s="1"/>
  <c r="AD50" i="104"/>
  <c r="Z50" i="104" s="1"/>
  <c r="AE50" i="104" s="1"/>
  <c r="AD51" i="104"/>
  <c r="Z51" i="104" s="1"/>
  <c r="AE51" i="104" s="1"/>
  <c r="O12" i="104"/>
  <c r="N12" i="104"/>
  <c r="O11" i="104"/>
  <c r="N11" i="104"/>
  <c r="N10" i="104"/>
  <c r="F42" i="103"/>
  <c r="D267" i="103"/>
  <c r="U208" i="103"/>
  <c r="U207" i="103"/>
  <c r="U206" i="103"/>
  <c r="U200" i="103"/>
  <c r="U199" i="103"/>
  <c r="U198" i="103"/>
  <c r="U191" i="103"/>
  <c r="U190" i="103"/>
  <c r="U189" i="103"/>
  <c r="D189" i="103"/>
  <c r="O185" i="103"/>
  <c r="D114" i="103"/>
  <c r="D72" i="103"/>
  <c r="D163" i="103" s="1"/>
  <c r="D207" i="103"/>
  <c r="D199" i="103"/>
  <c r="D206" i="103"/>
  <c r="D39" i="103"/>
  <c r="D38" i="103"/>
  <c r="D37" i="103"/>
  <c r="R35" i="103"/>
  <c r="O35" i="103"/>
  <c r="D35" i="103"/>
  <c r="R34" i="103"/>
  <c r="D34" i="103"/>
  <c r="O29" i="103"/>
  <c r="O28" i="103"/>
  <c r="D33" i="103" s="1"/>
  <c r="Y18" i="103"/>
  <c r="W18" i="103"/>
  <c r="Y17" i="103"/>
  <c r="W17" i="103"/>
  <c r="AA7" i="103" s="1"/>
  <c r="W16" i="103"/>
  <c r="D11" i="103"/>
  <c r="D113" i="103" s="1"/>
  <c r="D6" i="103"/>
  <c r="D75" i="103" s="1"/>
  <c r="D167" i="103" s="1"/>
  <c r="D240" i="87"/>
  <c r="E240" i="87" s="1"/>
  <c r="D6" i="87"/>
  <c r="D75" i="87" s="1"/>
  <c r="R39" i="103" l="1"/>
  <c r="D198" i="103" s="1"/>
  <c r="D200" i="103" s="1"/>
  <c r="O200" i="103" s="1"/>
  <c r="W12" i="105"/>
  <c r="O34" i="105"/>
  <c r="O43" i="105" s="1"/>
  <c r="W13" i="105"/>
  <c r="W10" i="105"/>
  <c r="Y10" i="105"/>
  <c r="Y13" i="105"/>
  <c r="Y8" i="103"/>
  <c r="O33" i="105"/>
  <c r="O42" i="105" s="1"/>
  <c r="D43" i="105" s="1"/>
  <c r="E241" i="87"/>
  <c r="N240" i="87"/>
  <c r="F40" i="103"/>
  <c r="F44" i="103" s="1"/>
  <c r="D237" i="103" s="1"/>
  <c r="F41" i="103"/>
  <c r="W7" i="103"/>
  <c r="AA15" i="105"/>
  <c r="O32" i="105" s="1"/>
  <c r="O41" i="105" s="1"/>
  <c r="D42" i="105" s="1"/>
  <c r="D98" i="105" s="1"/>
  <c r="AF11" i="104"/>
  <c r="AG11" i="104"/>
  <c r="AF40" i="104"/>
  <c r="AG40" i="104"/>
  <c r="AF19" i="104"/>
  <c r="AG19" i="104"/>
  <c r="AG47" i="104"/>
  <c r="AF47" i="104"/>
  <c r="AF28" i="104"/>
  <c r="AG28" i="104"/>
  <c r="AG3" i="104"/>
  <c r="AF3" i="104"/>
  <c r="AG36" i="104"/>
  <c r="AF36" i="104"/>
  <c r="AF39" i="104"/>
  <c r="AG39" i="104"/>
  <c r="AG25" i="104"/>
  <c r="AF25" i="104"/>
  <c r="AF10" i="104"/>
  <c r="AG10" i="104"/>
  <c r="AF51" i="104"/>
  <c r="AG51" i="104"/>
  <c r="AG38" i="104"/>
  <c r="AF38" i="104"/>
  <c r="AF35" i="104"/>
  <c r="AG35" i="104"/>
  <c r="AF24" i="104"/>
  <c r="AG24" i="104"/>
  <c r="AG34" i="104"/>
  <c r="AF34" i="104"/>
  <c r="AG23" i="104"/>
  <c r="AF23" i="104"/>
  <c r="AF12" i="104"/>
  <c r="AG12" i="104"/>
  <c r="AG8" i="104"/>
  <c r="AF8" i="104"/>
  <c r="AG49" i="104"/>
  <c r="AF49" i="104"/>
  <c r="AF46" i="104"/>
  <c r="AG46" i="104"/>
  <c r="AF37" i="104"/>
  <c r="AG37" i="104"/>
  <c r="AF33" i="104"/>
  <c r="AG33" i="104"/>
  <c r="AG22" i="104"/>
  <c r="AF22" i="104"/>
  <c r="AF18" i="104"/>
  <c r="AG18" i="104"/>
  <c r="AF7" i="104"/>
  <c r="AG7" i="104"/>
  <c r="AG42" i="104"/>
  <c r="AF42" i="104"/>
  <c r="AF6" i="104"/>
  <c r="AG6" i="104"/>
  <c r="AF14" i="104"/>
  <c r="AG14" i="104"/>
  <c r="AF29" i="104"/>
  <c r="AG29" i="104"/>
  <c r="AF48" i="104"/>
  <c r="AG48" i="104"/>
  <c r="AF16" i="104"/>
  <c r="AG16" i="104"/>
  <c r="AG5" i="104"/>
  <c r="AF5" i="104"/>
  <c r="AF2" i="104"/>
  <c r="AG2" i="104"/>
  <c r="AG26" i="104"/>
  <c r="AF26" i="104"/>
  <c r="AF4" i="104"/>
  <c r="AG4" i="104"/>
  <c r="AG13" i="104"/>
  <c r="AF13" i="104"/>
  <c r="AF41" i="104"/>
  <c r="AG41" i="104"/>
  <c r="AG9" i="104"/>
  <c r="AF9" i="104"/>
  <c r="AG50" i="104"/>
  <c r="AF50" i="104"/>
  <c r="AG45" i="104"/>
  <c r="AF45" i="104"/>
  <c r="AF32" i="104"/>
  <c r="AG32" i="104"/>
  <c r="AG17" i="104"/>
  <c r="AF17" i="104"/>
  <c r="AG44" i="104"/>
  <c r="AF44" i="104"/>
  <c r="AF31" i="104"/>
  <c r="AG31" i="104"/>
  <c r="AF20" i="104"/>
  <c r="AG20" i="104"/>
  <c r="AF43" i="104"/>
  <c r="AG43" i="104"/>
  <c r="AG30" i="104"/>
  <c r="AF30" i="104"/>
  <c r="AF27" i="104"/>
  <c r="AG27" i="104"/>
  <c r="AF15" i="104"/>
  <c r="AG15" i="104"/>
  <c r="AF1" i="104"/>
  <c r="AG1" i="104"/>
  <c r="O14" i="104"/>
  <c r="F11" i="104" s="1"/>
  <c r="W4" i="103"/>
  <c r="Y4" i="103"/>
  <c r="Y5" i="103"/>
  <c r="O44" i="103"/>
  <c r="D45" i="103" s="1"/>
  <c r="D192" i="103" s="1"/>
  <c r="Y16" i="103"/>
  <c r="AA6" i="103" s="1"/>
  <c r="D208" i="103"/>
  <c r="O210" i="103" s="1"/>
  <c r="W8" i="103"/>
  <c r="Y6" i="103"/>
  <c r="Y7" i="103"/>
  <c r="D71" i="103"/>
  <c r="Q190" i="103"/>
  <c r="Q199" i="103"/>
  <c r="E267" i="103"/>
  <c r="N268" i="103"/>
  <c r="T206" i="103"/>
  <c r="R207" i="103"/>
  <c r="E268" i="103"/>
  <c r="Q207" i="103"/>
  <c r="D268" i="103"/>
  <c r="T189" i="103"/>
  <c r="R190" i="103"/>
  <c r="T198" i="103"/>
  <c r="R199" i="103"/>
  <c r="N267" i="103"/>
  <c r="AA14" i="105" l="1"/>
  <c r="O31" i="105" s="1"/>
  <c r="D269" i="103"/>
  <c r="D17" i="103" s="1"/>
  <c r="AA8" i="103"/>
  <c r="O40" i="105"/>
  <c r="D41" i="105" s="1"/>
  <c r="D78" i="105" s="1"/>
  <c r="O35" i="105"/>
  <c r="O44" i="105" s="1"/>
  <c r="D44" i="105" s="1"/>
  <c r="D99" i="105" s="1"/>
  <c r="I97" i="105" s="1"/>
  <c r="AG52" i="104"/>
  <c r="P15" i="104" s="1"/>
  <c r="G8" i="104" s="1"/>
  <c r="AF52" i="104"/>
  <c r="O15" i="104" s="1"/>
  <c r="F8" i="104" s="1"/>
  <c r="N210" i="103"/>
  <c r="T208" i="103" s="1"/>
  <c r="N202" i="103"/>
  <c r="T200" i="103" s="1"/>
  <c r="O202" i="103"/>
  <c r="Q202" i="103"/>
  <c r="S202" i="103" s="1"/>
  <c r="N200" i="103"/>
  <c r="T199" i="103" s="1"/>
  <c r="O208" i="103"/>
  <c r="Q210" i="103"/>
  <c r="S210" i="103" s="1"/>
  <c r="N208" i="103"/>
  <c r="T207" i="103" s="1"/>
  <c r="W6" i="103"/>
  <c r="W5" i="103"/>
  <c r="AA4" i="103"/>
  <c r="AA5" i="103"/>
  <c r="D162" i="103"/>
  <c r="D73" i="103"/>
  <c r="D76" i="105" l="1"/>
  <c r="O99" i="105"/>
  <c r="Q101" i="105"/>
  <c r="S101" i="105" s="1"/>
  <c r="N99" i="105"/>
  <c r="T98" i="105" s="1"/>
  <c r="O101" i="105"/>
  <c r="N101" i="105"/>
  <c r="T99" i="105" s="1"/>
  <c r="AA10" i="103"/>
  <c r="AA12" i="103" s="1"/>
  <c r="W12" i="103" s="1"/>
  <c r="AA11" i="103"/>
  <c r="AA13" i="103" s="1"/>
  <c r="O32" i="103" s="1"/>
  <c r="O41" i="103" s="1"/>
  <c r="D42" i="103" s="1"/>
  <c r="T210" i="103"/>
  <c r="D209" i="103" s="1"/>
  <c r="D210" i="103" s="1"/>
  <c r="U210" i="103"/>
  <c r="G206" i="103" s="1"/>
  <c r="D164" i="103"/>
  <c r="T202" i="103"/>
  <c r="D201" i="103" s="1"/>
  <c r="D202" i="103" s="1"/>
  <c r="U202" i="103"/>
  <c r="G198" i="103" s="1"/>
  <c r="Y13" i="103" l="1"/>
  <c r="T101" i="105"/>
  <c r="D101" i="105" s="1"/>
  <c r="D102" i="105" s="1"/>
  <c r="D125" i="105" s="1"/>
  <c r="U101" i="105"/>
  <c r="G99" i="105" s="1"/>
  <c r="Y14" i="103"/>
  <c r="W11" i="103"/>
  <c r="W10" i="103"/>
  <c r="Y11" i="103"/>
  <c r="O33" i="103"/>
  <c r="O42" i="103" s="1"/>
  <c r="D43" i="103" s="1"/>
  <c r="W14" i="103"/>
  <c r="Y12" i="103"/>
  <c r="W13" i="103"/>
  <c r="Y10" i="103"/>
  <c r="AA14" i="103" l="1"/>
  <c r="O30" i="103" s="1"/>
  <c r="O34" i="103" s="1"/>
  <c r="O43" i="103" s="1"/>
  <c r="AA15" i="103"/>
  <c r="O31" i="103" s="1"/>
  <c r="O40" i="103" s="1"/>
  <c r="D41" i="103" s="1"/>
  <c r="D190" i="103" s="1"/>
  <c r="O39" i="103"/>
  <c r="D40" i="103" s="1"/>
  <c r="D44" i="103" l="1"/>
  <c r="D191" i="103" s="1"/>
  <c r="I189" i="103" s="1"/>
  <c r="J41" i="103"/>
  <c r="J40" i="103"/>
  <c r="O193" i="103" l="1"/>
  <c r="Q193" i="103"/>
  <c r="S193" i="103" s="1"/>
  <c r="U193" i="103" s="1"/>
  <c r="G191" i="103" s="1"/>
  <c r="N193" i="103"/>
  <c r="T191" i="103" s="1"/>
  <c r="N191" i="103"/>
  <c r="T190" i="103" s="1"/>
  <c r="O191" i="103"/>
  <c r="J43" i="103"/>
  <c r="D76" i="103"/>
  <c r="T193" i="103" l="1"/>
  <c r="D193" i="103" s="1"/>
  <c r="D194" i="103" s="1"/>
  <c r="D217" i="103" s="1"/>
  <c r="J44" i="103"/>
  <c r="D168" i="103"/>
  <c r="O36" i="87" l="1"/>
  <c r="R36" i="87" l="1"/>
  <c r="O29" i="87"/>
  <c r="O30" i="87"/>
  <c r="R40" i="87" s="1"/>
  <c r="R43" i="87"/>
  <c r="R42" i="87"/>
  <c r="D40" i="87"/>
  <c r="D39" i="87"/>
  <c r="D38" i="87"/>
  <c r="W18" i="87"/>
  <c r="Y18" i="87"/>
  <c r="W4" i="87" l="1"/>
  <c r="Y4" i="87"/>
  <c r="D241" i="87" l="1"/>
  <c r="D207" i="87"/>
  <c r="D199" i="87"/>
  <c r="R41" i="87"/>
  <c r="D206" i="87" s="1"/>
  <c r="D189" i="87"/>
  <c r="O185" i="87"/>
  <c r="R199" i="87" s="1"/>
  <c r="U208" i="87"/>
  <c r="U207" i="87"/>
  <c r="U206" i="87"/>
  <c r="U200" i="87"/>
  <c r="U199" i="87"/>
  <c r="U198" i="87"/>
  <c r="U191" i="87"/>
  <c r="U190" i="87"/>
  <c r="U189" i="87"/>
  <c r="R207" i="87" l="1"/>
  <c r="T189" i="87"/>
  <c r="Q207" i="87"/>
  <c r="Q190" i="87"/>
  <c r="R190" i="87"/>
  <c r="T198" i="87"/>
  <c r="Q199" i="87"/>
  <c r="T206" i="87"/>
  <c r="N241" i="87"/>
  <c r="D208" i="87"/>
  <c r="Q210" i="87" s="1"/>
  <c r="D242" i="87" l="1"/>
  <c r="D17" i="87" s="1"/>
  <c r="O210" i="87"/>
  <c r="N208" i="87"/>
  <c r="T207" i="87" s="1"/>
  <c r="O208" i="87"/>
  <c r="N210" i="87"/>
  <c r="T208" i="87" s="1"/>
  <c r="S210" i="87"/>
  <c r="U210" i="87" s="1"/>
  <c r="G206" i="87" s="1"/>
  <c r="T210" i="87" l="1"/>
  <c r="D209" i="87" s="1"/>
  <c r="D210" i="87" s="1"/>
  <c r="D114" i="87" l="1"/>
  <c r="D167" i="87"/>
  <c r="D72" i="87"/>
  <c r="D163" i="87" l="1"/>
  <c r="D34" i="87"/>
  <c r="D35" i="87"/>
  <c r="D36" i="87"/>
  <c r="R35" i="87"/>
  <c r="D11" i="87"/>
  <c r="O45" i="87" l="1"/>
  <c r="D45" i="87" s="1"/>
  <c r="D192" i="87" s="1"/>
  <c r="D198" i="87"/>
  <c r="D200" i="87" s="1"/>
  <c r="D113" i="87"/>
  <c r="D71" i="87"/>
  <c r="Q202" i="87" l="1"/>
  <c r="S202" i="87" s="1"/>
  <c r="N200" i="87"/>
  <c r="T199" i="87" s="1"/>
  <c r="O202" i="87"/>
  <c r="N202" i="87"/>
  <c r="T200" i="87" s="1"/>
  <c r="O200" i="87"/>
  <c r="D73" i="87"/>
  <c r="D162" i="87"/>
  <c r="W16" i="87"/>
  <c r="Y5" i="87" s="1"/>
  <c r="Y17" i="87"/>
  <c r="W17" i="87"/>
  <c r="AA7" i="87" s="1"/>
  <c r="Y16" i="87"/>
  <c r="Y6" i="87" l="1"/>
  <c r="W7" i="87"/>
  <c r="Y7" i="87"/>
  <c r="W8" i="87"/>
  <c r="Y8" i="87"/>
  <c r="AA6" i="87"/>
  <c r="W5" i="87"/>
  <c r="AA8" i="87"/>
  <c r="AA4" i="87"/>
  <c r="W6" i="87"/>
  <c r="AA5" i="87"/>
  <c r="T202" i="87"/>
  <c r="D201" i="87" s="1"/>
  <c r="D202" i="87" s="1"/>
  <c r="U202" i="87"/>
  <c r="G198" i="87" s="1"/>
  <c r="D164" i="87"/>
  <c r="AA11" i="87" l="1"/>
  <c r="AA13" i="87" s="1"/>
  <c r="AA10" i="87"/>
  <c r="AA12" i="87" s="1"/>
  <c r="W10" i="87" s="1"/>
  <c r="W11" i="87" l="1"/>
  <c r="O34" i="87"/>
  <c r="O43" i="87" s="1"/>
  <c r="Y12" i="87"/>
  <c r="O33" i="87"/>
  <c r="O42" i="87" s="1"/>
  <c r="D43" i="87" s="1"/>
  <c r="W13" i="87"/>
  <c r="Y10" i="87"/>
  <c r="Y11" i="87"/>
  <c r="Y13" i="87"/>
  <c r="W12" i="87"/>
  <c r="Y14" i="87"/>
  <c r="W14" i="87"/>
  <c r="AA14" i="87" l="1"/>
  <c r="AA15" i="87"/>
  <c r="D71" i="110" l="1"/>
  <c r="D71" i="115"/>
  <c r="D71" i="108"/>
  <c r="D84" i="108" s="1"/>
  <c r="D71" i="111"/>
  <c r="D71" i="112"/>
  <c r="D74" i="103"/>
  <c r="D71" i="105"/>
  <c r="O32" i="87"/>
  <c r="O41" i="87" s="1"/>
  <c r="D42" i="87" s="1"/>
  <c r="D190" i="87" s="1"/>
  <c r="O31" i="87"/>
  <c r="D14" i="108" l="1"/>
  <c r="D123" i="108" s="1"/>
  <c r="D130" i="108" s="1"/>
  <c r="J14" i="108" s="1"/>
  <c r="D71" i="107"/>
  <c r="D72" i="107" s="1"/>
  <c r="D75" i="107" s="1"/>
  <c r="D71" i="109"/>
  <c r="D74" i="87"/>
  <c r="D82" i="87" s="1"/>
  <c r="J85" i="87" s="1"/>
  <c r="D87" i="108"/>
  <c r="D78" i="108"/>
  <c r="D81" i="108"/>
  <c r="D84" i="111"/>
  <c r="D78" i="111"/>
  <c r="D81" i="111"/>
  <c r="D87" i="111"/>
  <c r="D72" i="115"/>
  <c r="D89" i="115" s="1"/>
  <c r="D78" i="110"/>
  <c r="D84" i="110"/>
  <c r="D81" i="110"/>
  <c r="D87" i="110"/>
  <c r="D72" i="112"/>
  <c r="D75" i="112" s="1"/>
  <c r="D72" i="105"/>
  <c r="D83" i="105" s="1"/>
  <c r="D85" i="103"/>
  <c r="D91" i="103" s="1"/>
  <c r="D88" i="103"/>
  <c r="J82" i="103"/>
  <c r="D82" i="103"/>
  <c r="J85" i="103" s="1"/>
  <c r="O35" i="87"/>
  <c r="O44" i="87" s="1"/>
  <c r="O40" i="87"/>
  <c r="D41" i="87" s="1"/>
  <c r="D76" i="87" s="1"/>
  <c r="D168" i="87" s="1"/>
  <c r="D16" i="110" l="1"/>
  <c r="D121" i="110" s="1"/>
  <c r="D133" i="110" s="1"/>
  <c r="J17" i="110" s="1"/>
  <c r="K17" i="110" s="1"/>
  <c r="D16" i="108"/>
  <c r="D143" i="108" s="1"/>
  <c r="D155" i="108" s="1"/>
  <c r="J17" i="108" s="1"/>
  <c r="K17" i="108" s="1"/>
  <c r="D14" i="115"/>
  <c r="D95" i="115" s="1"/>
  <c r="D102" i="115" s="1"/>
  <c r="D119" i="115" s="1"/>
  <c r="D16" i="111"/>
  <c r="D126" i="111" s="1"/>
  <c r="D138" i="111" s="1"/>
  <c r="E138" i="111" s="1"/>
  <c r="D87" i="109"/>
  <c r="D84" i="109"/>
  <c r="D78" i="109"/>
  <c r="D81" i="109"/>
  <c r="D83" i="112"/>
  <c r="D85" i="87"/>
  <c r="D91" i="87" s="1"/>
  <c r="J82" i="87"/>
  <c r="D89" i="112"/>
  <c r="D83" i="115"/>
  <c r="D75" i="115"/>
  <c r="D85" i="112"/>
  <c r="K14" i="108"/>
  <c r="E130" i="108"/>
  <c r="G130" i="108"/>
  <c r="D14" i="110"/>
  <c r="D95" i="110"/>
  <c r="D91" i="115"/>
  <c r="D85" i="115"/>
  <c r="E133" i="110"/>
  <c r="D95" i="111"/>
  <c r="D14" i="111"/>
  <c r="D89" i="107"/>
  <c r="D83" i="107"/>
  <c r="D85" i="107"/>
  <c r="D75" i="105"/>
  <c r="D85" i="105"/>
  <c r="D89" i="105"/>
  <c r="N89" i="105" s="1"/>
  <c r="D115" i="87"/>
  <c r="D165" i="87"/>
  <c r="D115" i="103"/>
  <c r="D165" i="103"/>
  <c r="D88" i="87"/>
  <c r="D44" i="87"/>
  <c r="G155" i="108" l="1"/>
  <c r="E155" i="108"/>
  <c r="G133" i="110"/>
  <c r="G138" i="111"/>
  <c r="D14" i="112"/>
  <c r="D95" i="112" s="1"/>
  <c r="D103" i="112" s="1"/>
  <c r="D114" i="112" s="1"/>
  <c r="D16" i="115"/>
  <c r="D126" i="115" s="1"/>
  <c r="D138" i="115" s="1"/>
  <c r="G138" i="115" s="1"/>
  <c r="J17" i="111"/>
  <c r="K17" i="111" s="1"/>
  <c r="D14" i="107"/>
  <c r="D123" i="107" s="1"/>
  <c r="D130" i="107" s="1"/>
  <c r="J14" i="107" s="1"/>
  <c r="D14" i="109"/>
  <c r="D16" i="109"/>
  <c r="D170" i="109" s="1"/>
  <c r="D182" i="109" s="1"/>
  <c r="G182" i="109" s="1"/>
  <c r="J14" i="115"/>
  <c r="K14" i="115" s="1"/>
  <c r="G119" i="115"/>
  <c r="E119" i="115"/>
  <c r="D102" i="111"/>
  <c r="D119" i="111" s="1"/>
  <c r="D103" i="110"/>
  <c r="D114" i="110" s="1"/>
  <c r="D87" i="112"/>
  <c r="D91" i="112"/>
  <c r="D91" i="107"/>
  <c r="D14" i="105"/>
  <c r="D87" i="115"/>
  <c r="D87" i="107"/>
  <c r="D91" i="105"/>
  <c r="D87" i="105"/>
  <c r="D123" i="87"/>
  <c r="D121" i="87"/>
  <c r="D166" i="87" s="1"/>
  <c r="D121" i="103"/>
  <c r="D166" i="103" s="1"/>
  <c r="D123" i="103"/>
  <c r="D191" i="87"/>
  <c r="I189" i="87" s="1"/>
  <c r="N193" i="87" s="1"/>
  <c r="T191" i="87" s="1"/>
  <c r="D16" i="112" l="1"/>
  <c r="D121" i="112" s="1"/>
  <c r="D133" i="112" s="1"/>
  <c r="D16" i="105"/>
  <c r="D143" i="105" s="1"/>
  <c r="D155" i="105" s="1"/>
  <c r="J17" i="105" s="1"/>
  <c r="K17" i="105" s="1"/>
  <c r="N91" i="105"/>
  <c r="D16" i="107"/>
  <c r="D170" i="107" s="1"/>
  <c r="D182" i="107" s="1"/>
  <c r="J17" i="107" s="1"/>
  <c r="K17" i="107" s="1"/>
  <c r="D143" i="107"/>
  <c r="D151" i="107" s="1"/>
  <c r="D163" i="107" s="1"/>
  <c r="E182" i="109"/>
  <c r="J17" i="109"/>
  <c r="K17" i="109" s="1"/>
  <c r="D123" i="109"/>
  <c r="D130" i="109" s="1"/>
  <c r="D143" i="109"/>
  <c r="D123" i="105"/>
  <c r="D130" i="105" s="1"/>
  <c r="J14" i="110"/>
  <c r="K14" i="110" s="1"/>
  <c r="G114" i="110"/>
  <c r="E114" i="110"/>
  <c r="J14" i="111"/>
  <c r="K14" i="111" s="1"/>
  <c r="G119" i="111"/>
  <c r="E119" i="111"/>
  <c r="J14" i="112"/>
  <c r="K14" i="112" s="1"/>
  <c r="G114" i="112"/>
  <c r="E114" i="112"/>
  <c r="D177" i="103"/>
  <c r="J177" i="103"/>
  <c r="D14" i="103" s="1"/>
  <c r="J17" i="115"/>
  <c r="K17" i="115" s="1"/>
  <c r="E138" i="115"/>
  <c r="D177" i="87"/>
  <c r="J177" i="87"/>
  <c r="D14" i="87" s="1"/>
  <c r="D183" i="87"/>
  <c r="J174" i="87"/>
  <c r="J17" i="112"/>
  <c r="K17" i="112" s="1"/>
  <c r="G133" i="112"/>
  <c r="E133" i="112"/>
  <c r="E130" i="107"/>
  <c r="K14" i="107"/>
  <c r="G130" i="107"/>
  <c r="D180" i="87"/>
  <c r="D174" i="87"/>
  <c r="D174" i="103"/>
  <c r="J174" i="103"/>
  <c r="D183" i="103"/>
  <c r="D180" i="103"/>
  <c r="Q193" i="87"/>
  <c r="S193" i="87" s="1"/>
  <c r="U193" i="87" s="1"/>
  <c r="G191" i="87" s="1"/>
  <c r="N191" i="87"/>
  <c r="T190" i="87" s="1"/>
  <c r="O193" i="87"/>
  <c r="O191" i="87"/>
  <c r="G155" i="105" l="1"/>
  <c r="E155" i="105"/>
  <c r="E182" i="107"/>
  <c r="G182" i="107"/>
  <c r="D151" i="109"/>
  <c r="D163" i="109" s="1"/>
  <c r="E163" i="109" s="1"/>
  <c r="D215" i="87"/>
  <c r="D215" i="103"/>
  <c r="D222" i="103" s="1"/>
  <c r="J14" i="103" s="1"/>
  <c r="J14" i="109"/>
  <c r="K14" i="109" s="1"/>
  <c r="G130" i="109"/>
  <c r="E130" i="109"/>
  <c r="J14" i="105"/>
  <c r="K14" i="105" s="1"/>
  <c r="E130" i="105"/>
  <c r="G130" i="105"/>
  <c r="J15" i="107"/>
  <c r="K15" i="107" s="1"/>
  <c r="E163" i="107"/>
  <c r="G163" i="107"/>
  <c r="D16" i="87"/>
  <c r="D235" i="103"/>
  <c r="D243" i="103" s="1"/>
  <c r="D16" i="103"/>
  <c r="T193" i="87"/>
  <c r="D193" i="87" s="1"/>
  <c r="J15" i="109" l="1"/>
  <c r="K15" i="109" s="1"/>
  <c r="G163" i="109"/>
  <c r="D235" i="87"/>
  <c r="D247" i="87" s="1"/>
  <c r="J17" i="87" s="1"/>
  <c r="K17" i="87" s="1"/>
  <c r="D262" i="103"/>
  <c r="D274" i="103" s="1"/>
  <c r="E274" i="103" s="1"/>
  <c r="D255" i="103"/>
  <c r="J15" i="103" s="1"/>
  <c r="G222" i="103"/>
  <c r="E222" i="103"/>
  <c r="K14" i="103"/>
  <c r="D194" i="87"/>
  <c r="E247" i="87" l="1"/>
  <c r="G247" i="87"/>
  <c r="G274" i="103"/>
  <c r="J17" i="103"/>
  <c r="K17" i="103" s="1"/>
  <c r="D217" i="87"/>
  <c r="D222" i="87" s="1"/>
  <c r="K15" i="103"/>
  <c r="G255" i="103"/>
  <c r="E255" i="103"/>
  <c r="J14" i="87" l="1"/>
  <c r="K14" i="87" s="1"/>
  <c r="E222" i="87"/>
  <c r="G222" i="87"/>
</calcChain>
</file>

<file path=xl/sharedStrings.xml><?xml version="1.0" encoding="utf-8"?>
<sst xmlns="http://schemas.openxmlformats.org/spreadsheetml/2006/main" count="6515" uniqueCount="1439">
  <si>
    <t xml:space="preserve"> </t>
  </si>
  <si>
    <t xml:space="preserve"> </t>
    <phoneticPr fontId="1" type="noConversion"/>
  </si>
  <si>
    <t>L</t>
    <phoneticPr fontId="1" type="noConversion"/>
  </si>
  <si>
    <t>W</t>
    <phoneticPr fontId="1" type="noConversion"/>
  </si>
  <si>
    <t>=</t>
    <phoneticPr fontId="1" type="noConversion"/>
  </si>
  <si>
    <t>E</t>
    <phoneticPr fontId="1" type="noConversion"/>
  </si>
  <si>
    <t>I</t>
    <phoneticPr fontId="1" type="noConversion"/>
  </si>
  <si>
    <t>P</t>
    <phoneticPr fontId="1" type="noConversion"/>
  </si>
  <si>
    <t>α</t>
    <phoneticPr fontId="1" type="noConversion"/>
  </si>
  <si>
    <t>:</t>
    <phoneticPr fontId="1" type="noConversion"/>
  </si>
  <si>
    <r>
      <t>I</t>
    </r>
    <r>
      <rPr>
        <b/>
        <vertAlign val="subscript"/>
        <sz val="12"/>
        <rFont val="한컴바탕"/>
        <family val="1"/>
        <charset val="129"/>
      </rPr>
      <t/>
    </r>
    <phoneticPr fontId="1" type="noConversion"/>
  </si>
  <si>
    <t>w</t>
    <phoneticPr fontId="1" type="noConversion"/>
  </si>
  <si>
    <t>도시입력</t>
    <phoneticPr fontId="1" type="noConversion"/>
  </si>
  <si>
    <t>숨긴위치</t>
    <phoneticPr fontId="1" type="noConversion"/>
  </si>
  <si>
    <t>경기도</t>
    <phoneticPr fontId="1" type="noConversion"/>
  </si>
  <si>
    <t>-.</t>
    <phoneticPr fontId="1" type="noConversion"/>
  </si>
  <si>
    <t>강원도</t>
    <phoneticPr fontId="1" type="noConversion"/>
  </si>
  <si>
    <t>1)</t>
    <phoneticPr fontId="1" type="noConversion"/>
  </si>
  <si>
    <t>WIND PRESSURE DESIGN CONDITION</t>
    <phoneticPr fontId="12" type="noConversion"/>
  </si>
  <si>
    <t>기본풍속</t>
    <phoneticPr fontId="1" type="noConversion"/>
  </si>
  <si>
    <t>지점출력</t>
    <phoneticPr fontId="1" type="noConversion"/>
  </si>
  <si>
    <t>(1) INPUT DATA</t>
    <phoneticPr fontId="2" type="noConversion"/>
  </si>
  <si>
    <t>건설지점</t>
    <phoneticPr fontId="12" type="noConversion"/>
  </si>
  <si>
    <t>:</t>
    <phoneticPr fontId="12" type="noConversion"/>
  </si>
  <si>
    <t>m</t>
    <phoneticPr fontId="12" type="noConversion"/>
  </si>
  <si>
    <r>
      <t xml:space="preserve">기본풍속 ( </t>
    </r>
    <r>
      <rPr>
        <b/>
        <i/>
        <sz val="9"/>
        <color indexed="8"/>
        <rFont val="Times New Roman"/>
        <family val="1"/>
      </rPr>
      <t>V</t>
    </r>
    <r>
      <rPr>
        <b/>
        <i/>
        <vertAlign val="subscript"/>
        <sz val="9"/>
        <color indexed="8"/>
        <rFont val="Times New Roman"/>
        <family val="1"/>
      </rPr>
      <t>0</t>
    </r>
    <r>
      <rPr>
        <b/>
        <sz val="9"/>
        <color indexed="8"/>
        <rFont val="한컴돋움"/>
        <family val="1"/>
        <charset val="129"/>
      </rPr>
      <t xml:space="preserve"> )</t>
    </r>
    <phoneticPr fontId="12" type="noConversion"/>
  </si>
  <si>
    <t>m/sec</t>
    <phoneticPr fontId="12" type="noConversion"/>
  </si>
  <si>
    <t>지표면 조도</t>
    <phoneticPr fontId="12" type="noConversion"/>
  </si>
  <si>
    <r>
      <t xml:space="preserve">지형계수 ( </t>
    </r>
    <r>
      <rPr>
        <b/>
        <i/>
        <sz val="9"/>
        <color indexed="8"/>
        <rFont val="Times New Roman"/>
        <family val="1"/>
      </rPr>
      <t>K</t>
    </r>
    <r>
      <rPr>
        <b/>
        <i/>
        <vertAlign val="subscript"/>
        <sz val="9"/>
        <color indexed="8"/>
        <rFont val="Times New Roman"/>
        <family val="1"/>
      </rPr>
      <t>zt</t>
    </r>
    <r>
      <rPr>
        <b/>
        <sz val="9"/>
        <color indexed="8"/>
        <rFont val="한컴돋움"/>
        <family val="1"/>
        <charset val="129"/>
      </rPr>
      <t xml:space="preserve"> )</t>
    </r>
    <phoneticPr fontId="1" type="noConversion"/>
  </si>
  <si>
    <r>
      <t xml:space="preserve">중요도계수 ( </t>
    </r>
    <r>
      <rPr>
        <b/>
        <i/>
        <sz val="9"/>
        <color indexed="8"/>
        <rFont val="Times New Roman"/>
        <family val="1"/>
      </rPr>
      <t>I</t>
    </r>
    <r>
      <rPr>
        <b/>
        <i/>
        <vertAlign val="subscript"/>
        <sz val="9"/>
        <color indexed="8"/>
        <rFont val="Times New Roman"/>
        <family val="1"/>
      </rPr>
      <t xml:space="preserve">w </t>
    </r>
    <r>
      <rPr>
        <b/>
        <sz val="9"/>
        <color indexed="8"/>
        <rFont val="한컴돋움"/>
        <family val="1"/>
        <charset val="129"/>
      </rPr>
      <t>)</t>
    </r>
    <phoneticPr fontId="12" type="noConversion"/>
  </si>
  <si>
    <r>
      <t xml:space="preserve">유효 수압면적 ( </t>
    </r>
    <r>
      <rPr>
        <b/>
        <i/>
        <sz val="9"/>
        <color indexed="8"/>
        <rFont val="Times New Roman"/>
        <family val="1"/>
      </rPr>
      <t xml:space="preserve">A </t>
    </r>
    <r>
      <rPr>
        <b/>
        <sz val="9"/>
        <color indexed="8"/>
        <rFont val="한컴돋움"/>
        <family val="1"/>
        <charset val="129"/>
      </rPr>
      <t>)</t>
    </r>
    <phoneticPr fontId="12" type="noConversion"/>
  </si>
  <si>
    <t>(mm)   ×</t>
    <phoneticPr fontId="12" type="noConversion"/>
  </si>
  <si>
    <t>(mm)</t>
    <phoneticPr fontId="12" type="noConversion"/>
  </si>
  <si>
    <t>TYPICAL ZONE (+)</t>
    <phoneticPr fontId="12" type="noConversion"/>
  </si>
  <si>
    <r>
      <t>kgf/m</t>
    </r>
    <r>
      <rPr>
        <b/>
        <vertAlign val="superscript"/>
        <sz val="9"/>
        <color indexed="8"/>
        <rFont val="한컴돋움"/>
        <family val="1"/>
        <charset val="129"/>
      </rPr>
      <t>2</t>
    </r>
    <phoneticPr fontId="12" type="noConversion"/>
  </si>
  <si>
    <t>TYPICAL ZONE (-)</t>
    <phoneticPr fontId="12" type="noConversion"/>
  </si>
  <si>
    <t>EDGE ZONE (-)</t>
    <phoneticPr fontId="1" type="noConversion"/>
  </si>
  <si>
    <t xml:space="preserve">Height </t>
    <phoneticPr fontId="1" type="noConversion"/>
  </si>
  <si>
    <t xml:space="preserve">     (m) </t>
    <phoneticPr fontId="1" type="noConversion"/>
  </si>
  <si>
    <t>제주도</t>
    <phoneticPr fontId="1" type="noConversion"/>
  </si>
  <si>
    <t>서귀포시 제주시 성산포</t>
    <phoneticPr fontId="12" type="noConversion"/>
  </si>
  <si>
    <t>2)</t>
    <phoneticPr fontId="1" type="noConversion"/>
  </si>
  <si>
    <r>
      <t>K</t>
    </r>
    <r>
      <rPr>
        <b/>
        <i/>
        <vertAlign val="subscript"/>
        <sz val="9"/>
        <color indexed="8"/>
        <rFont val="Times New Roman"/>
        <family val="1"/>
      </rPr>
      <t>zr</t>
    </r>
    <phoneticPr fontId="12" type="noConversion"/>
  </si>
  <si>
    <r>
      <t>Z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</si>
  <si>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t>=</t>
    <phoneticPr fontId="1" type="noConversion"/>
  </si>
  <si>
    <r>
      <t>Z</t>
    </r>
    <r>
      <rPr>
        <b/>
        <i/>
        <vertAlign val="subscript"/>
        <sz val="9"/>
        <rFont val="Times New Roman"/>
        <family val="1"/>
      </rPr>
      <t>g</t>
    </r>
    <phoneticPr fontId="1" type="noConversion"/>
  </si>
  <si>
    <t>Z</t>
    <phoneticPr fontId="1" type="noConversion"/>
  </si>
  <si>
    <r>
      <t>V</t>
    </r>
    <r>
      <rPr>
        <b/>
        <i/>
        <vertAlign val="subscript"/>
        <sz val="9"/>
        <color indexed="8"/>
        <rFont val="Times New Roman"/>
        <family val="1"/>
      </rPr>
      <t>0</t>
    </r>
    <r>
      <rPr>
        <b/>
        <sz val="9"/>
        <color indexed="8"/>
        <rFont val="Times New Roman"/>
        <family val="1"/>
      </rPr>
      <t xml:space="preserve">  ×  </t>
    </r>
    <r>
      <rPr>
        <b/>
        <i/>
        <sz val="9"/>
        <color indexed="8"/>
        <rFont val="Times New Roman"/>
        <family val="1"/>
      </rPr>
      <t>K</t>
    </r>
    <r>
      <rPr>
        <b/>
        <i/>
        <vertAlign val="subscript"/>
        <sz val="9"/>
        <color indexed="8"/>
        <rFont val="Times New Roman"/>
        <family val="1"/>
      </rPr>
      <t>zr</t>
    </r>
    <r>
      <rPr>
        <b/>
        <i/>
        <sz val="9"/>
        <color indexed="8"/>
        <rFont val="Times New Roman"/>
        <family val="1"/>
      </rPr>
      <t xml:space="preserve">  ×  K</t>
    </r>
    <r>
      <rPr>
        <b/>
        <i/>
        <vertAlign val="subscript"/>
        <sz val="9"/>
        <color indexed="8"/>
        <rFont val="Times New Roman"/>
        <family val="1"/>
      </rPr>
      <t>zt</t>
    </r>
    <r>
      <rPr>
        <b/>
        <i/>
        <sz val="9"/>
        <color indexed="8"/>
        <rFont val="Times New Roman"/>
        <family val="1"/>
      </rPr>
      <t xml:space="preserve">  ×  I</t>
    </r>
    <r>
      <rPr>
        <b/>
        <i/>
        <vertAlign val="subscript"/>
        <sz val="9"/>
        <color indexed="8"/>
        <rFont val="Times New Roman"/>
        <family val="1"/>
      </rPr>
      <t>w</t>
    </r>
    <phoneticPr fontId="12" type="noConversion"/>
  </si>
  <si>
    <t>3)</t>
    <phoneticPr fontId="1" type="noConversion"/>
  </si>
  <si>
    <t>ρ</t>
    <phoneticPr fontId="1" type="noConversion"/>
  </si>
  <si>
    <r>
      <t>kg/m</t>
    </r>
    <r>
      <rPr>
        <b/>
        <vertAlign val="superscript"/>
        <sz val="9"/>
        <color indexed="8"/>
        <rFont val="한컴돋움"/>
        <family val="1"/>
        <charset val="129"/>
      </rPr>
      <t>3</t>
    </r>
    <phoneticPr fontId="1" type="noConversion"/>
  </si>
  <si>
    <t>4)</t>
    <phoneticPr fontId="1" type="noConversion"/>
  </si>
  <si>
    <t>a</t>
    <phoneticPr fontId="1" type="noConversion"/>
  </si>
  <si>
    <t>Kzr</t>
    <phoneticPr fontId="1" type="noConversion"/>
  </si>
  <si>
    <t>A</t>
    <phoneticPr fontId="1" type="noConversion"/>
  </si>
  <si>
    <r>
      <t>G·C</t>
    </r>
    <r>
      <rPr>
        <b/>
        <i/>
        <vertAlign val="subscript"/>
        <sz val="9"/>
        <color indexed="8"/>
        <rFont val="Times New Roman"/>
        <family val="1"/>
      </rPr>
      <t>pe</t>
    </r>
    <phoneticPr fontId="12" type="noConversion"/>
  </si>
  <si>
    <r>
      <t>G·C</t>
    </r>
    <r>
      <rPr>
        <b/>
        <i/>
        <vertAlign val="subscript"/>
        <sz val="9"/>
        <color indexed="8"/>
        <rFont val="Times New Roman"/>
        <family val="1"/>
      </rPr>
      <t>pi</t>
    </r>
    <phoneticPr fontId="12" type="noConversion"/>
  </si>
  <si>
    <t>B</t>
    <phoneticPr fontId="1" type="noConversion"/>
  </si>
  <si>
    <t>C</t>
    <phoneticPr fontId="1" type="noConversion"/>
  </si>
  <si>
    <t>D</t>
    <phoneticPr fontId="1" type="noConversion"/>
  </si>
  <si>
    <t>=</t>
    <phoneticPr fontId="12" type="noConversion"/>
  </si>
  <si>
    <r>
      <t>q</t>
    </r>
    <r>
      <rPr>
        <b/>
        <i/>
        <vertAlign val="subscript"/>
        <sz val="9"/>
        <rFont val="Times New Roman"/>
        <family val="1"/>
      </rPr>
      <t xml:space="preserve">H </t>
    </r>
    <r>
      <rPr>
        <b/>
        <i/>
        <sz val="9"/>
        <rFont val="Times New Roman"/>
        <family val="1"/>
      </rPr>
      <t>· ( G · C</t>
    </r>
    <r>
      <rPr>
        <b/>
        <i/>
        <vertAlign val="subscript"/>
        <sz val="9"/>
        <rFont val="Times New Roman"/>
        <family val="1"/>
      </rPr>
      <t>pe</t>
    </r>
    <r>
      <rPr>
        <b/>
        <i/>
        <sz val="9"/>
        <rFont val="Times New Roman"/>
        <family val="1"/>
      </rPr>
      <t xml:space="preserve"> - G · C</t>
    </r>
    <r>
      <rPr>
        <b/>
        <i/>
        <vertAlign val="subscript"/>
        <sz val="9"/>
        <rFont val="Times New Roman"/>
        <family val="1"/>
      </rPr>
      <t xml:space="preserve">pi </t>
    </r>
    <r>
      <rPr>
        <b/>
        <i/>
        <sz val="9"/>
        <rFont val="Times New Roman"/>
        <family val="1"/>
      </rPr>
      <t>)</t>
    </r>
    <phoneticPr fontId="1" type="noConversion"/>
  </si>
  <si>
    <t>· 지붕면 평균높이가 높이 20m 이상인 경우</t>
    <phoneticPr fontId="12" type="noConversion"/>
  </si>
  <si>
    <t>경사지, 언덕 및 산에서의 지형계수</t>
    <phoneticPr fontId="1" type="noConversion"/>
  </si>
  <si>
    <t xml:space="preserve">  (1) DESIGN CONDITION</t>
  </si>
  <si>
    <t>-</t>
    <phoneticPr fontId="1" type="noConversion"/>
  </si>
  <si>
    <t>정점에서 풍하중 빗변 5H 까지의 평균경사 (Φd)</t>
    <phoneticPr fontId="1" type="noConversion"/>
  </si>
  <si>
    <t>정점으로부터 수평거리, m (χ)</t>
    <phoneticPr fontId="1" type="noConversion"/>
  </si>
  <si>
    <t>정점 높이, m (H)</t>
    <phoneticPr fontId="1" type="noConversion"/>
  </si>
  <si>
    <t>정점에서 아래로 H/2지점의 수평거리, m (Lu)</t>
    <phoneticPr fontId="1" type="noConversion"/>
  </si>
  <si>
    <t>경사형태</t>
    <phoneticPr fontId="1" type="noConversion"/>
  </si>
  <si>
    <t>경사지</t>
    <phoneticPr fontId="1" type="noConversion"/>
  </si>
  <si>
    <t>언덕,산</t>
    <phoneticPr fontId="1" type="noConversion"/>
  </si>
  <si>
    <t>적용범위</t>
    <phoneticPr fontId="1" type="noConversion"/>
  </si>
  <si>
    <t>풍상측</t>
    <phoneticPr fontId="1" type="noConversion"/>
  </si>
  <si>
    <t>풍하측</t>
    <phoneticPr fontId="1" type="noConversion"/>
  </si>
  <si>
    <t xml:space="preserve">  (2) OUTPUT</t>
    <phoneticPr fontId="1" type="noConversion"/>
  </si>
  <si>
    <t>수압면적</t>
    <phoneticPr fontId="1" type="noConversion"/>
  </si>
  <si>
    <t>CASE</t>
    <phoneticPr fontId="1" type="noConversion"/>
  </si>
  <si>
    <t>A≤1</t>
    <phoneticPr fontId="1" type="noConversion"/>
  </si>
  <si>
    <r>
      <t>K</t>
    </r>
    <r>
      <rPr>
        <b/>
        <vertAlign val="subscript"/>
        <sz val="9"/>
        <color indexed="8"/>
        <rFont val="한컴돋움"/>
        <family val="1"/>
        <charset val="129"/>
      </rPr>
      <t xml:space="preserve">zt       </t>
    </r>
    <r>
      <rPr>
        <b/>
        <sz val="9"/>
        <color indexed="8"/>
        <rFont val="한컴돋움"/>
        <family val="1"/>
        <charset val="129"/>
      </rPr>
      <t>=</t>
    </r>
    <phoneticPr fontId="12" type="noConversion"/>
  </si>
  <si>
    <r>
      <t>1+k</t>
    </r>
    <r>
      <rPr>
        <b/>
        <vertAlign val="subscript"/>
        <sz val="9"/>
        <color indexed="8"/>
        <rFont val="한컴돋움"/>
        <family val="1"/>
        <charset val="129"/>
      </rPr>
      <t>t</t>
    </r>
    <r>
      <rPr>
        <b/>
        <sz val="9"/>
        <color indexed="8"/>
        <rFont val="한컴돋움"/>
        <family val="1"/>
        <charset val="129"/>
      </rPr>
      <t xml:space="preserve"> s Φ' / (1+3.7I</t>
    </r>
    <r>
      <rPr>
        <b/>
        <vertAlign val="subscript"/>
        <sz val="9"/>
        <color indexed="8"/>
        <rFont val="한컴돋움"/>
        <family val="1"/>
        <charset val="129"/>
      </rPr>
      <t>z</t>
    </r>
    <r>
      <rPr>
        <b/>
        <sz val="9"/>
        <color indexed="8"/>
        <rFont val="한컴돋움"/>
        <family val="1"/>
        <charset val="129"/>
      </rPr>
      <t>)</t>
    </r>
    <phoneticPr fontId="1" type="noConversion"/>
  </si>
  <si>
    <t>1&lt;A≤50</t>
    <phoneticPr fontId="1" type="noConversion"/>
  </si>
  <si>
    <t>A&gt;50</t>
    <phoneticPr fontId="1" type="noConversion"/>
  </si>
  <si>
    <t xml:space="preserve">         =</t>
    <phoneticPr fontId="1" type="noConversion"/>
  </si>
  <si>
    <t>-------------------------------------</t>
    <phoneticPr fontId="1" type="noConversion"/>
  </si>
  <si>
    <r>
      <t>k</t>
    </r>
    <r>
      <rPr>
        <b/>
        <vertAlign val="subscript"/>
        <sz val="9"/>
        <color indexed="8"/>
        <rFont val="한컴돋움"/>
        <family val="1"/>
        <charset val="129"/>
      </rPr>
      <t>t</t>
    </r>
    <r>
      <rPr>
        <b/>
        <sz val="9"/>
        <color indexed="8"/>
        <rFont val="한컴돋움"/>
        <family val="1"/>
        <charset val="129"/>
      </rPr>
      <t xml:space="preserve"> </t>
    </r>
    <phoneticPr fontId="1" type="noConversion"/>
  </si>
  <si>
    <r>
      <t>(1.4+3.6(Φ</t>
    </r>
    <r>
      <rPr>
        <b/>
        <vertAlign val="subscript"/>
        <sz val="9"/>
        <color indexed="8"/>
        <rFont val="한컴돋움"/>
        <family val="1"/>
        <charset val="129"/>
      </rPr>
      <t>d</t>
    </r>
    <r>
      <rPr>
        <b/>
        <sz val="9"/>
        <color indexed="8"/>
        <rFont val="한컴돋움"/>
        <family val="1"/>
        <charset val="129"/>
      </rPr>
      <t>-0.05)≤3.2)</t>
    </r>
    <phoneticPr fontId="1" type="noConversion"/>
  </si>
  <si>
    <t>s</t>
    <phoneticPr fontId="1" type="noConversion"/>
  </si>
  <si>
    <t>(위치계수)</t>
    <phoneticPr fontId="1" type="noConversion"/>
  </si>
  <si>
    <r>
      <t>(1-|x|/1.5L)(1-z/L</t>
    </r>
    <r>
      <rPr>
        <b/>
        <vertAlign val="subscript"/>
        <sz val="9"/>
        <color indexed="8"/>
        <rFont val="한컴돋움"/>
        <family val="1"/>
        <charset val="129"/>
      </rPr>
      <t>u</t>
    </r>
    <r>
      <rPr>
        <b/>
        <sz val="9"/>
        <color indexed="8"/>
        <rFont val="한컴돋움"/>
        <family val="1"/>
        <charset val="129"/>
      </rPr>
      <t>)</t>
    </r>
    <phoneticPr fontId="1" type="noConversion"/>
  </si>
  <si>
    <t>L*</t>
    <phoneticPr fontId="1" type="noConversion"/>
  </si>
  <si>
    <t>Φ'</t>
    <phoneticPr fontId="1" type="noConversion"/>
  </si>
  <si>
    <t>(Φ 또는 0.3 중 작은값)</t>
    <phoneticPr fontId="1" type="noConversion"/>
  </si>
  <si>
    <t>Φ</t>
    <phoneticPr fontId="1" type="noConversion"/>
  </si>
  <si>
    <r>
      <t>(=H/2L</t>
    </r>
    <r>
      <rPr>
        <b/>
        <vertAlign val="subscript"/>
        <sz val="9"/>
        <color indexed="8"/>
        <rFont val="한컴돋움"/>
        <family val="1"/>
        <charset val="129"/>
      </rPr>
      <t>u</t>
    </r>
    <r>
      <rPr>
        <b/>
        <sz val="9"/>
        <color indexed="8"/>
        <rFont val="한컴돋움"/>
        <family val="1"/>
        <charset val="129"/>
      </rPr>
      <t>)</t>
    </r>
    <phoneticPr fontId="1" type="noConversion"/>
  </si>
  <si>
    <r>
      <t>I</t>
    </r>
    <r>
      <rPr>
        <b/>
        <vertAlign val="subscript"/>
        <sz val="9"/>
        <color indexed="8"/>
        <rFont val="한컴돋움"/>
        <family val="1"/>
        <charset val="129"/>
      </rPr>
      <t>z</t>
    </r>
    <r>
      <rPr>
        <b/>
        <sz val="9"/>
        <color indexed="8"/>
        <rFont val="한컴돋움"/>
        <family val="1"/>
        <charset val="129"/>
      </rPr>
      <t xml:space="preserve"> </t>
    </r>
    <phoneticPr fontId="1" type="noConversion"/>
  </si>
  <si>
    <r>
      <t>(=0.1(z/Zg)</t>
    </r>
    <r>
      <rPr>
        <b/>
        <vertAlign val="superscript"/>
        <sz val="9"/>
        <color indexed="8"/>
        <rFont val="한컴돋움"/>
        <family val="1"/>
        <charset val="129"/>
      </rPr>
      <t>-α-0.05</t>
    </r>
    <r>
      <rPr>
        <b/>
        <sz val="9"/>
        <color indexed="8"/>
        <rFont val="한컴돋움"/>
        <family val="1"/>
        <charset val="129"/>
      </rPr>
      <t>)</t>
    </r>
    <phoneticPr fontId="1" type="noConversion"/>
  </si>
  <si>
    <r>
      <t>Z</t>
    </r>
    <r>
      <rPr>
        <b/>
        <vertAlign val="subscript"/>
        <sz val="9"/>
        <color indexed="8"/>
        <rFont val="한컴돋움"/>
        <family val="1"/>
        <charset val="129"/>
      </rPr>
      <t>g</t>
    </r>
    <r>
      <rPr>
        <b/>
        <sz val="9"/>
        <color indexed="8"/>
        <rFont val="한컴돋움"/>
        <family val="1"/>
        <charset val="129"/>
      </rPr>
      <t xml:space="preserve"> </t>
    </r>
    <phoneticPr fontId="1" type="noConversion"/>
  </si>
  <si>
    <t>(기준경도풍높이, m)</t>
    <phoneticPr fontId="1" type="noConversion"/>
  </si>
  <si>
    <t>(지표면으로부터 임의 높이, m)</t>
    <phoneticPr fontId="1" type="noConversion"/>
  </si>
  <si>
    <t>=</t>
    <phoneticPr fontId="1" type="noConversion"/>
  </si>
  <si>
    <t>1) GENETRAL</t>
    <phoneticPr fontId="1" type="noConversion"/>
  </si>
  <si>
    <t>W.L</t>
  </si>
  <si>
    <r>
      <t>W</t>
    </r>
    <r>
      <rPr>
        <b/>
        <i/>
        <vertAlign val="subscript"/>
        <sz val="9"/>
        <rFont val="Times New Roman"/>
        <family val="1"/>
      </rPr>
      <t>1</t>
    </r>
    <phoneticPr fontId="1" type="noConversion"/>
  </si>
  <si>
    <r>
      <t>W</t>
    </r>
    <r>
      <rPr>
        <b/>
        <i/>
        <vertAlign val="subscript"/>
        <sz val="9"/>
        <rFont val="Times New Roman"/>
        <family val="1"/>
      </rPr>
      <t>2</t>
    </r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</si>
  <si>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H </t>
    </r>
    <r>
      <rPr>
        <b/>
        <sz val="9"/>
        <rFont val="Times New Roman"/>
        <family val="1"/>
      </rPr>
      <t>)</t>
    </r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</si>
  <si>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a </t>
    </r>
    <r>
      <rPr>
        <b/>
        <sz val="9"/>
        <rFont val="Times New Roman"/>
        <family val="1"/>
      </rPr>
      <t>)</t>
    </r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</si>
  <si>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3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L </t>
    </r>
    <r>
      <rPr>
        <b/>
        <sz val="9"/>
        <rFont val="Times New Roman"/>
        <family val="1"/>
      </rPr>
      <t>)</t>
    </r>
    <phoneticPr fontId="1" type="noConversion"/>
  </si>
  <si>
    <r>
      <t>M</t>
    </r>
    <r>
      <rPr>
        <b/>
        <i/>
        <vertAlign val="subscript"/>
        <sz val="9"/>
        <rFont val="Times New Roman"/>
        <family val="1"/>
      </rPr>
      <t>MAX</t>
    </r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</si>
  <si>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 xml:space="preserve">  /  F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</si>
  <si>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r>
      <t>E</t>
    </r>
    <r>
      <rPr>
        <b/>
        <i/>
        <vertAlign val="subscript"/>
        <sz val="9"/>
        <rFont val="Times New Roman"/>
        <family val="1"/>
      </rPr>
      <t>STEEL</t>
    </r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</si>
  <si>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MAX</t>
    </r>
    <r>
      <rPr>
        <b/>
        <i/>
        <sz val="9"/>
        <rFont val="Times New Roman"/>
        <family val="1"/>
      </rPr>
      <t xml:space="preserve">  /  Δ</t>
    </r>
    <r>
      <rPr>
        <b/>
        <i/>
        <vertAlign val="subscript"/>
        <sz val="9"/>
        <rFont val="Times New Roman"/>
        <family val="1"/>
      </rPr>
      <t xml:space="preserve">ALL </t>
    </r>
    <phoneticPr fontId="1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</si>
  <si>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Design Wind Load </t>
    </r>
    <r>
      <rPr>
        <b/>
        <sz val="9"/>
        <rFont val="Times New Roman"/>
        <family val="1"/>
      </rPr>
      <t>)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</si>
  <si>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Module Width 1 </t>
    </r>
    <r>
      <rPr>
        <b/>
        <sz val="9"/>
        <rFont val="Times New Roman"/>
        <family val="1"/>
      </rPr>
      <t>)</t>
    </r>
    <phoneticPr fontId="1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</si>
  <si>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Module Width 2</t>
    </r>
    <r>
      <rPr>
        <b/>
        <sz val="9"/>
        <rFont val="Times New Roman"/>
        <family val="1"/>
      </rPr>
      <t xml:space="preserve"> )</t>
    </r>
    <phoneticPr fontId="1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</si>
  <si>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Unbraced Length </t>
    </r>
    <r>
      <rPr>
        <b/>
        <sz val="9"/>
        <rFont val="Times New Roman"/>
        <family val="1"/>
      </rPr>
      <t>)</t>
    </r>
    <phoneticPr fontId="1" type="noConversion"/>
  </si>
  <si>
    <t>H</t>
    <phoneticPr fontId="1" type="noConversion"/>
  </si>
  <si>
    <r>
      <t>t</t>
    </r>
    <r>
      <rPr>
        <b/>
        <i/>
        <vertAlign val="subscript"/>
        <sz val="9"/>
        <rFont val="Times New Roman"/>
        <family val="1"/>
      </rPr>
      <t>1</t>
    </r>
    <phoneticPr fontId="1" type="noConversion"/>
  </si>
  <si>
    <r>
      <t>t</t>
    </r>
    <r>
      <rPr>
        <b/>
        <i/>
        <vertAlign val="subscript"/>
        <sz val="9"/>
        <rFont val="Times New Roman"/>
        <family val="1"/>
      </rPr>
      <t>2</t>
    </r>
    <phoneticPr fontId="1" type="noConversion"/>
  </si>
  <si>
    <t>h</t>
    <phoneticPr fontId="1" type="noConversion"/>
  </si>
  <si>
    <t>b</t>
    <phoneticPr fontId="1" type="noConversion"/>
  </si>
  <si>
    <t>2) USING SECTION PROPERTIES  &amp;  FASADE DESIGN</t>
    <phoneticPr fontId="1" type="noConversion"/>
  </si>
  <si>
    <r>
      <t>h  /  t</t>
    </r>
    <r>
      <rPr>
        <b/>
        <i/>
        <vertAlign val="subscript"/>
        <sz val="9"/>
        <rFont val="Times New Roman"/>
        <family val="1"/>
      </rPr>
      <t>1</t>
    </r>
    <phoneticPr fontId="1" type="noConversion"/>
  </si>
  <si>
    <r>
      <t>b  /  t</t>
    </r>
    <r>
      <rPr>
        <b/>
        <i/>
        <vertAlign val="subscript"/>
        <sz val="9"/>
        <rFont val="Times New Roman"/>
        <family val="1"/>
      </rPr>
      <t>2</t>
    </r>
    <phoneticPr fontId="1" type="noConversion"/>
  </si>
  <si>
    <r>
      <t xml:space="preserve"> Web </t>
    </r>
    <r>
      <rPr>
        <b/>
        <sz val="9"/>
        <rFont val="돋움"/>
        <family val="3"/>
        <charset val="129"/>
      </rPr>
      <t>판폭두께비</t>
    </r>
    <phoneticPr fontId="1" type="noConversion"/>
  </si>
  <si>
    <r>
      <t xml:space="preserve"> Flange </t>
    </r>
    <r>
      <rPr>
        <b/>
        <sz val="9"/>
        <rFont val="돋움"/>
        <family val="3"/>
        <charset val="129"/>
      </rPr>
      <t>판폭두께비</t>
    </r>
    <phoneticPr fontId="1" type="noConversion"/>
  </si>
  <si>
    <t xml:space="preserve">  A</t>
    <phoneticPr fontId="1" type="noConversion"/>
  </si>
  <si>
    <t xml:space="preserve">3) FRAME ANALYSIS </t>
    <phoneticPr fontId="1" type="noConversion"/>
  </si>
  <si>
    <r>
      <t>R</t>
    </r>
    <r>
      <rPr>
        <b/>
        <i/>
        <vertAlign val="subscript"/>
        <sz val="9"/>
        <rFont val="Times New Roman"/>
        <family val="1"/>
      </rPr>
      <t>A</t>
    </r>
    <phoneticPr fontId="1" type="noConversion"/>
  </si>
  <si>
    <r>
      <t>R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</si>
  <si>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r>
      <t>M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</si>
  <si>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1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</si>
  <si>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 + a </t>
    </r>
    <r>
      <rPr>
        <b/>
        <sz val="9"/>
        <rFont val="Times New Roman"/>
        <family val="1"/>
      </rPr>
      <t>)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1" type="noConversion"/>
  </si>
  <si>
    <r>
      <t>w a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2</t>
    </r>
    <phoneticPr fontId="1" type="noConversion"/>
  </si>
  <si>
    <t>(1) FORMULARS TO CALCULATION</t>
    <phoneticPr fontId="1" type="noConversion"/>
  </si>
  <si>
    <t>(2) INPUT DATA</t>
    <phoneticPr fontId="1" type="noConversion"/>
  </si>
  <si>
    <t>L</t>
    <phoneticPr fontId="1" type="noConversion"/>
  </si>
  <si>
    <t>w</t>
    <phoneticPr fontId="1" type="noConversion"/>
  </si>
  <si>
    <t>E</t>
    <phoneticPr fontId="1" type="noConversion"/>
  </si>
  <si>
    <t>Modulus of Elasticity</t>
    <phoneticPr fontId="1" type="noConversion"/>
  </si>
  <si>
    <t>Moment of Inertia</t>
    <phoneticPr fontId="1" type="noConversion"/>
  </si>
  <si>
    <t>Lineal Load</t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</si>
  <si>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3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E.J ~ Anchor</t>
    </r>
    <r>
      <rPr>
        <b/>
        <sz val="9"/>
        <rFont val="Times New Roman"/>
        <family val="1"/>
      </rPr>
      <t xml:space="preserve"> )</t>
    </r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</si>
  <si>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Anchor ~ E.J</t>
    </r>
    <r>
      <rPr>
        <b/>
        <sz val="9"/>
        <rFont val="Times New Roman"/>
        <family val="1"/>
      </rPr>
      <t xml:space="preserve"> )</t>
    </r>
    <phoneticPr fontId="1" type="noConversion"/>
  </si>
  <si>
    <t>:</t>
    <phoneticPr fontId="1" type="noConversion"/>
  </si>
  <si>
    <t>Reaction Force</t>
    <phoneticPr fontId="1" type="noConversion"/>
  </si>
  <si>
    <t>Bending Moment</t>
    <phoneticPr fontId="1" type="noConversion"/>
  </si>
  <si>
    <t>Max. Deflection</t>
    <phoneticPr fontId="1" type="noConversion"/>
  </si>
  <si>
    <t>(3) OUTPUT DATA</t>
    <phoneticPr fontId="1" type="noConversion"/>
  </si>
  <si>
    <r>
      <t>R</t>
    </r>
    <r>
      <rPr>
        <b/>
        <i/>
        <vertAlign val="subscript"/>
        <sz val="9"/>
        <rFont val="Times New Roman"/>
        <family val="1"/>
      </rPr>
      <t>A</t>
    </r>
    <r>
      <rPr>
        <b/>
        <sz val="11"/>
        <rFont val="한컴바탕"/>
        <family val="1"/>
        <charset val="129"/>
      </rPr>
      <t/>
    </r>
    <phoneticPr fontId="1" type="noConversion"/>
  </si>
  <si>
    <r>
      <t>M</t>
    </r>
    <r>
      <rPr>
        <b/>
        <i/>
        <vertAlign val="subscript"/>
        <sz val="9"/>
        <rFont val="Times New Roman"/>
        <family val="1"/>
      </rPr>
      <t>B</t>
    </r>
    <r>
      <rPr>
        <b/>
        <sz val="11"/>
        <rFont val="한컴바탕"/>
        <family val="1"/>
        <charset val="129"/>
      </rPr>
      <t/>
    </r>
    <phoneticPr fontId="1" type="noConversion"/>
  </si>
  <si>
    <r>
      <t>M</t>
    </r>
    <r>
      <rPr>
        <b/>
        <i/>
        <vertAlign val="subscript"/>
        <sz val="9"/>
        <rFont val="Times New Roman"/>
        <family val="1"/>
      </rPr>
      <t>MAX1</t>
    </r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</si>
  <si>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C1</t>
    </r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</si>
  <si>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MAX1</t>
    </r>
    <phoneticPr fontId="1" type="noConversion"/>
  </si>
  <si>
    <r>
      <t>w 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2</t>
    </r>
    <phoneticPr fontId="1" type="noConversion"/>
  </si>
  <si>
    <r>
      <t>x</t>
    </r>
    <r>
      <rPr>
        <b/>
        <vertAlign val="subscript"/>
        <sz val="9"/>
        <rFont val="Times New Roman"/>
        <family val="1"/>
      </rPr>
      <t>1</t>
    </r>
    <phoneticPr fontId="1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</si>
  <si>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1" type="noConversion"/>
  </si>
  <si>
    <r>
      <t xml:space="preserve">w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L + a </t>
    </r>
    <r>
      <rPr>
        <b/>
        <sz val="9"/>
        <color indexed="8"/>
        <rFont val="Times New Roman"/>
        <family val="1"/>
      </rPr>
      <t>)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2 L </t>
    </r>
    <r>
      <rPr>
        <b/>
        <sz val="9"/>
        <color indexed="8"/>
        <rFont val="Times New Roman"/>
        <family val="1"/>
      </rPr>
      <t>)</t>
    </r>
    <phoneticPr fontId="1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</si>
  <si>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R</t>
    </r>
    <r>
      <rPr>
        <b/>
        <i/>
        <vertAlign val="subscript"/>
        <sz val="9"/>
        <color indexed="8"/>
        <rFont val="Times New Roman"/>
        <family val="1"/>
      </rPr>
      <t>A</t>
    </r>
    <r>
      <rPr>
        <b/>
        <i/>
        <sz val="9"/>
        <color indexed="8"/>
        <rFont val="Times New Roman"/>
        <family val="1"/>
      </rPr>
      <t xml:space="preserve"> * x</t>
    </r>
    <r>
      <rPr>
        <b/>
        <i/>
        <vertAlign val="subscript"/>
        <sz val="9"/>
        <color indexed="8"/>
        <rFont val="Times New Roman"/>
        <family val="1"/>
      </rPr>
      <t>1</t>
    </r>
    <r>
      <rPr>
        <b/>
        <i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-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wx</t>
    </r>
    <r>
      <rPr>
        <b/>
        <i/>
        <vertAlign val="subscript"/>
        <sz val="9"/>
        <color indexed="8"/>
        <rFont val="Times New Roman"/>
        <family val="1"/>
      </rPr>
      <t>1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2 </t>
    </r>
    <r>
      <rPr>
        <b/>
        <sz val="9"/>
        <color indexed="8"/>
        <rFont val="Times New Roman"/>
        <family val="1"/>
      </rPr>
      <t>)</t>
    </r>
    <phoneticPr fontId="1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</si>
  <si>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wa</t>
    </r>
    <r>
      <rPr>
        <b/>
        <i/>
        <vertAlign val="superscript"/>
        <sz val="9"/>
        <color indexed="8"/>
        <rFont val="Times New Roman"/>
        <family val="1"/>
      </rPr>
      <t>4</t>
    </r>
    <r>
      <rPr>
        <b/>
        <i/>
        <sz val="9"/>
        <color indexed="8"/>
        <rFont val="Times New Roman"/>
        <family val="1"/>
      </rPr>
      <t xml:space="preserve"> / 8 EI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+ </t>
    </r>
    <r>
      <rPr>
        <b/>
        <sz val="9"/>
        <color indexed="8"/>
        <rFont val="Times New Roman"/>
        <family val="1"/>
      </rPr>
      <t>( (</t>
    </r>
    <r>
      <rPr>
        <b/>
        <i/>
        <sz val="9"/>
        <color indexed="8"/>
        <rFont val="Times New Roman"/>
        <family val="1"/>
      </rPr>
      <t xml:space="preserve"> w L a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4a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- L</t>
    </r>
    <r>
      <rPr>
        <b/>
        <i/>
        <vertAlign val="superscript"/>
        <sz val="9"/>
        <color indexed="8"/>
        <rFont val="Times New Roman"/>
        <family val="1"/>
      </rPr>
      <t xml:space="preserve">2 </t>
    </r>
    <r>
      <rPr>
        <b/>
        <i/>
        <sz val="9"/>
        <color indexed="8"/>
        <rFont val="Times New Roman"/>
        <family val="1"/>
      </rPr>
      <t xml:space="preserve">)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/  24 EI </t>
    </r>
    <r>
      <rPr>
        <b/>
        <sz val="9"/>
        <color indexed="8"/>
        <rFont val="Times New Roman"/>
        <family val="1"/>
      </rPr>
      <t>)</t>
    </r>
    <phoneticPr fontId="1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</si>
  <si>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5 wL</t>
    </r>
    <r>
      <rPr>
        <b/>
        <i/>
        <vertAlign val="superscript"/>
        <sz val="9"/>
        <color indexed="8"/>
        <rFont val="Times New Roman"/>
        <family val="1"/>
      </rPr>
      <t>4</t>
    </r>
    <r>
      <rPr>
        <b/>
        <i/>
        <sz val="9"/>
        <color indexed="8"/>
        <rFont val="Times New Roman"/>
        <family val="1"/>
      </rPr>
      <t xml:space="preserve"> / 384 EI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-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M</t>
    </r>
    <r>
      <rPr>
        <b/>
        <i/>
        <vertAlign val="subscript"/>
        <sz val="9"/>
        <color indexed="8"/>
        <rFont val="Times New Roman"/>
        <family val="1"/>
      </rPr>
      <t xml:space="preserve">B </t>
    </r>
    <r>
      <rPr>
        <b/>
        <i/>
        <sz val="9"/>
        <color indexed="8"/>
        <rFont val="Times New Roman"/>
        <family val="1"/>
      </rPr>
      <t>L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16 EI </t>
    </r>
    <r>
      <rPr>
        <b/>
        <sz val="9"/>
        <color indexed="8"/>
        <rFont val="Times New Roman"/>
        <family val="1"/>
      </rPr>
      <t>)</t>
    </r>
    <phoneticPr fontId="1" type="noConversion"/>
  </si>
  <si>
    <r>
      <t>P</t>
    </r>
    <r>
      <rPr>
        <b/>
        <i/>
        <vertAlign val="subscript"/>
        <sz val="9"/>
        <color indexed="8"/>
        <rFont val="Times New Roman"/>
        <family val="1"/>
      </rPr>
      <t>0</t>
    </r>
    <phoneticPr fontId="1" type="noConversion"/>
  </si>
  <si>
    <r>
      <t xml:space="preserve">Nodal Load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CASE 1 , = R</t>
    </r>
    <r>
      <rPr>
        <b/>
        <vertAlign val="subscript"/>
        <sz val="9"/>
        <rFont val="Times New Roman"/>
        <family val="1"/>
      </rPr>
      <t>A</t>
    </r>
    <r>
      <rPr>
        <b/>
        <sz val="9"/>
        <rFont val="Times New Roman"/>
        <family val="1"/>
      </rPr>
      <t xml:space="preserve"> )</t>
    </r>
    <phoneticPr fontId="1" type="noConversion"/>
  </si>
  <si>
    <r>
      <t>M</t>
    </r>
    <r>
      <rPr>
        <b/>
        <i/>
        <vertAlign val="subscript"/>
        <sz val="9"/>
        <rFont val="Times New Roman"/>
        <family val="1"/>
      </rPr>
      <t>x1</t>
    </r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</si>
  <si>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MAX</t>
    </r>
    <phoneticPr fontId="1" type="noConversion"/>
  </si>
  <si>
    <t>P * a</t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</si>
  <si>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 * a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*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/ L </t>
    </r>
    <r>
      <rPr>
        <b/>
        <sz val="9"/>
        <rFont val="Times New Roman"/>
        <family val="1"/>
      </rPr>
      <t>)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</si>
  <si>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0.0642 P a *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EI </t>
    </r>
    <r>
      <rPr>
        <b/>
        <sz val="9"/>
        <rFont val="Times New Roman"/>
        <family val="1"/>
      </rPr>
      <t>)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</si>
  <si>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= L /</t>
    </r>
    <r>
      <rPr>
        <b/>
        <sz val="9"/>
        <rFont val="한컴돋움"/>
        <family val="1"/>
        <charset val="129"/>
      </rPr>
      <t>√</t>
    </r>
    <r>
      <rPr>
        <b/>
        <i/>
        <sz val="9"/>
        <rFont val="Times New Roman"/>
        <family val="1"/>
      </rPr>
      <t xml:space="preserve">3 </t>
    </r>
    <r>
      <rPr>
        <b/>
        <sz val="9"/>
        <rFont val="Times New Roman"/>
        <family val="1"/>
      </rPr>
      <t>)</t>
    </r>
    <phoneticPr fontId="1" type="noConversion"/>
  </si>
  <si>
    <r>
      <t>x</t>
    </r>
    <r>
      <rPr>
        <b/>
        <i/>
        <vertAlign val="subscript"/>
        <sz val="9"/>
        <rFont val="Times New Roman"/>
        <family val="1"/>
      </rPr>
      <t>1</t>
    </r>
    <phoneticPr fontId="1" type="noConversion"/>
  </si>
  <si>
    <r>
      <t>Span,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: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1" type="noConversion"/>
  </si>
  <si>
    <r>
      <t xml:space="preserve">Nodal Load 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CASE 1 , = R</t>
    </r>
    <r>
      <rPr>
        <b/>
        <i/>
        <vertAlign val="subscript"/>
        <sz val="9"/>
        <rFont val="Times New Roman"/>
        <family val="1"/>
      </rPr>
      <t>A</t>
    </r>
    <r>
      <rPr>
        <b/>
        <sz val="9"/>
        <rFont val="Times New Roman"/>
        <family val="1"/>
      </rPr>
      <t xml:space="preserve"> )</t>
    </r>
    <phoneticPr fontId="1" type="noConversion"/>
  </si>
  <si>
    <r>
      <t xml:space="preserve">Nodal Load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</t>
    </r>
    <r>
      <rPr>
        <b/>
        <i/>
        <vertAlign val="subscript"/>
        <sz val="9"/>
        <rFont val="Times New Roman"/>
        <family val="1"/>
      </rPr>
      <t>0</t>
    </r>
    <r>
      <rPr>
        <b/>
        <i/>
        <sz val="9"/>
        <rFont val="Times New Roman"/>
        <family val="1"/>
      </rPr>
      <t xml:space="preserve"> - R</t>
    </r>
    <r>
      <rPr>
        <b/>
        <i/>
        <vertAlign val="subscript"/>
        <sz val="9"/>
        <rFont val="Times New Roman"/>
        <family val="1"/>
      </rPr>
      <t xml:space="preserve">A </t>
    </r>
    <r>
      <rPr>
        <b/>
        <sz val="9"/>
        <rFont val="Times New Roman"/>
        <family val="1"/>
      </rPr>
      <t>)</t>
    </r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</si>
  <si>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MAX3</t>
    </r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</si>
  <si>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C3</t>
    </r>
    <phoneticPr fontId="1" type="noConversion"/>
  </si>
  <si>
    <r>
      <rPr>
        <b/>
        <sz val="9"/>
        <color indexed="8"/>
        <rFont val="Times New Roman"/>
        <family val="1"/>
      </rPr>
      <t>( (</t>
    </r>
    <r>
      <rPr>
        <b/>
        <i/>
        <sz val="9"/>
        <color indexed="8"/>
        <rFont val="Times New Roman"/>
        <family val="1"/>
      </rPr>
      <t xml:space="preserve"> P 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L + a </t>
    </r>
    <r>
      <rPr>
        <b/>
        <sz val="9"/>
        <color indexed="8"/>
        <rFont val="Times New Roman"/>
        <family val="1"/>
      </rPr>
      <t>) )</t>
    </r>
    <r>
      <rPr>
        <b/>
        <i/>
        <sz val="9"/>
        <color indexed="8"/>
        <rFont val="Times New Roman"/>
        <family val="1"/>
      </rPr>
      <t xml:space="preserve"> / 3EI </t>
    </r>
    <r>
      <rPr>
        <b/>
        <sz val="9"/>
        <color indexed="8"/>
        <rFont val="Times New Roman"/>
        <family val="1"/>
      </rPr>
      <t>)</t>
    </r>
    <phoneticPr fontId="1" type="noConversion"/>
  </si>
  <si>
    <t>-. Actual Bending Stress</t>
    <phoneticPr fontId="2" type="noConversion"/>
  </si>
  <si>
    <t>-. Allowable Bending Stress</t>
    <phoneticPr fontId="2" type="noConversion"/>
  </si>
  <si>
    <r>
      <t>Z</t>
    </r>
    <r>
      <rPr>
        <b/>
        <i/>
        <vertAlign val="subscript"/>
        <sz val="9"/>
        <rFont val="Times New Roman"/>
        <family val="1"/>
      </rPr>
      <t>X</t>
    </r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</si>
  <si>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</si>
  <si>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t>=</t>
    <phoneticPr fontId="1" type="noConversion"/>
  </si>
  <si>
    <t>Max. Bending Moment</t>
    <phoneticPr fontId="1" type="noConversion"/>
  </si>
  <si>
    <t>Section Modulus</t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</si>
  <si>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</si>
  <si>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>y</t>
    </r>
    <phoneticPr fontId="1" type="noConversion"/>
  </si>
  <si>
    <t>Short Term</t>
    <phoneticPr fontId="1" type="noConversion"/>
  </si>
  <si>
    <t>-. Check Stress Stability</t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</si>
  <si>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 xml:space="preserve">b  </t>
    </r>
    <r>
      <rPr>
        <b/>
        <i/>
        <sz val="9"/>
        <rFont val="Times New Roman"/>
        <family val="1"/>
      </rPr>
      <t>/ F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</si>
  <si>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t>4) BENDING STRESS CHECK</t>
    <phoneticPr fontId="1" type="noConversion"/>
  </si>
  <si>
    <t xml:space="preserve">5) DEFLECTION CHECK </t>
    <phoneticPr fontId="2" type="noConversion"/>
  </si>
  <si>
    <t>-. Allowable Deflection</t>
    <phoneticPr fontId="2" type="noConversion"/>
  </si>
  <si>
    <t>-. Actual Deflection</t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</si>
  <si>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ALL</t>
    </r>
    <phoneticPr fontId="1" type="noConversion"/>
  </si>
  <si>
    <t>L</t>
    <phoneticPr fontId="1" type="noConversion"/>
  </si>
  <si>
    <t>&lt; AAMA TIR-A11-04 &gt;</t>
    <phoneticPr fontId="1" type="noConversion"/>
  </si>
  <si>
    <t>L &gt; 4110</t>
    <phoneticPr fontId="1" type="noConversion"/>
  </si>
  <si>
    <t>L ≤4110</t>
    <phoneticPr fontId="1" type="noConversion"/>
  </si>
  <si>
    <t>-. Check Deflection Stability</t>
    <phoneticPr fontId="1" type="noConversion"/>
  </si>
  <si>
    <t>=</t>
    <phoneticPr fontId="1" type="noConversion"/>
  </si>
  <si>
    <t>A1</t>
    <phoneticPr fontId="38" type="noConversion"/>
  </si>
  <si>
    <t>y1</t>
    <phoneticPr fontId="38" type="noConversion"/>
  </si>
  <si>
    <t>x1</t>
    <phoneticPr fontId="38" type="noConversion"/>
  </si>
  <si>
    <t>A2</t>
    <phoneticPr fontId="38" type="noConversion"/>
  </si>
  <si>
    <t>y2</t>
  </si>
  <si>
    <t>x2</t>
  </si>
  <si>
    <t>A3</t>
    <phoneticPr fontId="38" type="noConversion"/>
  </si>
  <si>
    <t>y3</t>
  </si>
  <si>
    <t>x3</t>
  </si>
  <si>
    <t>A4</t>
    <phoneticPr fontId="38" type="noConversion"/>
  </si>
  <si>
    <t>y4</t>
  </si>
  <si>
    <t>x4</t>
  </si>
  <si>
    <t>A5</t>
    <phoneticPr fontId="38" type="noConversion"/>
  </si>
  <si>
    <t>y5</t>
  </si>
  <si>
    <t>x5</t>
  </si>
  <si>
    <t>y_1</t>
    <phoneticPr fontId="38" type="noConversion"/>
  </si>
  <si>
    <t>x_1</t>
    <phoneticPr fontId="38" type="noConversion"/>
  </si>
  <si>
    <t>Sx</t>
    <phoneticPr fontId="38" type="noConversion"/>
  </si>
  <si>
    <t>=</t>
    <phoneticPr fontId="1" type="noConversion"/>
  </si>
  <si>
    <t>y_2</t>
  </si>
  <si>
    <t>x_2</t>
  </si>
  <si>
    <t>Sy</t>
    <phoneticPr fontId="38" type="noConversion"/>
  </si>
  <si>
    <t>y_3</t>
  </si>
  <si>
    <t>x_3</t>
  </si>
  <si>
    <t>Gy</t>
    <phoneticPr fontId="38" type="noConversion"/>
  </si>
  <si>
    <t>y_4</t>
  </si>
  <si>
    <t>x_4</t>
  </si>
  <si>
    <t>Gx</t>
    <phoneticPr fontId="38" type="noConversion"/>
  </si>
  <si>
    <t>y_5</t>
  </si>
  <si>
    <t>x_5</t>
  </si>
  <si>
    <t>Ix</t>
    <phoneticPr fontId="38" type="noConversion"/>
  </si>
  <si>
    <t>Iy</t>
    <phoneticPr fontId="38" type="noConversion"/>
  </si>
  <si>
    <t>ksi</t>
  </si>
  <si>
    <t>-. CHECK FOR VERTICAL ALUM. MULLION</t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</si>
  <si>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5w L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M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>*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16 EI </t>
    </r>
    <r>
      <rPr>
        <b/>
        <sz val="9"/>
        <rFont val="Times New Roman"/>
        <family val="1"/>
      </rPr>
      <t>)      :</t>
    </r>
    <phoneticPr fontId="1" type="noConversion"/>
  </si>
  <si>
    <r>
      <t>E</t>
    </r>
    <r>
      <rPr>
        <b/>
        <i/>
        <vertAlign val="subscript"/>
        <sz val="9"/>
        <rFont val="Times New Roman"/>
        <family val="1"/>
      </rPr>
      <t>ALUM.</t>
    </r>
    <phoneticPr fontId="1" type="noConversion"/>
  </si>
  <si>
    <t>( 6063- T</t>
    <phoneticPr fontId="1" type="noConversion"/>
  </si>
  <si>
    <r>
      <t>t</t>
    </r>
    <r>
      <rPr>
        <b/>
        <i/>
        <vertAlign val="subscript"/>
        <sz val="9"/>
        <rFont val="Times New Roman"/>
        <family val="1"/>
      </rPr>
      <t>3</t>
    </r>
    <phoneticPr fontId="1" type="noConversion"/>
  </si>
  <si>
    <r>
      <t>I</t>
    </r>
    <r>
      <rPr>
        <b/>
        <i/>
        <vertAlign val="subscript"/>
        <sz val="9"/>
        <rFont val="Times New Roman"/>
        <family val="1"/>
      </rPr>
      <t>x</t>
    </r>
    <phoneticPr fontId="38" type="noConversion"/>
  </si>
  <si>
    <r>
      <t>I</t>
    </r>
    <r>
      <rPr>
        <b/>
        <i/>
        <vertAlign val="subscript"/>
        <sz val="9"/>
        <rFont val="Times New Roman"/>
        <family val="1"/>
      </rPr>
      <t>y</t>
    </r>
    <phoneticPr fontId="38" type="noConversion"/>
  </si>
  <si>
    <r>
      <t>Z</t>
    </r>
    <r>
      <rPr>
        <b/>
        <i/>
        <vertAlign val="subscript"/>
        <sz val="9"/>
        <rFont val="Times New Roman"/>
        <family val="1"/>
      </rPr>
      <t>x</t>
    </r>
    <phoneticPr fontId="38" type="noConversion"/>
  </si>
  <si>
    <t>H</t>
    <phoneticPr fontId="38" type="noConversion"/>
  </si>
  <si>
    <t>B</t>
    <phoneticPr fontId="1" type="noConversion"/>
  </si>
  <si>
    <t>b</t>
    <phoneticPr fontId="1" type="noConversion"/>
  </si>
  <si>
    <r>
      <t>h</t>
    </r>
    <r>
      <rPr>
        <b/>
        <i/>
        <vertAlign val="subscript"/>
        <sz val="9"/>
        <rFont val="Times New Roman"/>
        <family val="1"/>
      </rPr>
      <t>1</t>
    </r>
    <phoneticPr fontId="38" type="noConversion"/>
  </si>
  <si>
    <t>【 CASE 1 】</t>
    <phoneticPr fontId="1" type="noConversion"/>
  </si>
  <si>
    <t>【 CASE 2 】</t>
    <phoneticPr fontId="1" type="noConversion"/>
  </si>
  <si>
    <t>【 CASE 3 】</t>
    <phoneticPr fontId="1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</si>
  <si>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Modulus of Elasticity , Alloy &amp; Temper </t>
    </r>
    <r>
      <rPr>
        <b/>
        <sz val="9"/>
        <rFont val="Times New Roman"/>
        <family val="1"/>
      </rPr>
      <t>)</t>
    </r>
    <phoneticPr fontId="1" type="noConversion"/>
  </si>
  <si>
    <r>
      <t>h</t>
    </r>
    <r>
      <rPr>
        <b/>
        <i/>
        <vertAlign val="subscript"/>
        <sz val="9"/>
        <rFont val="Times New Roman"/>
        <family val="1"/>
      </rPr>
      <t>2</t>
    </r>
    <phoneticPr fontId="1" type="noConversion"/>
  </si>
  <si>
    <t>* RESULT DATA  (OUTPUT)</t>
    <phoneticPr fontId="1" type="noConversion"/>
  </si>
  <si>
    <t>-</t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</si>
  <si>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R</t>
    </r>
    <r>
      <rPr>
        <b/>
        <i/>
        <vertAlign val="subscript"/>
        <sz val="9"/>
        <rFont val="Times New Roman"/>
        <family val="1"/>
      </rPr>
      <t>A</t>
    </r>
    <r>
      <rPr>
        <b/>
        <i/>
        <sz val="9"/>
        <rFont val="Times New Roman"/>
        <family val="1"/>
      </rPr>
      <t xml:space="preserve"> * x</t>
    </r>
    <r>
      <rPr>
        <b/>
        <i/>
        <vertAlign val="subscript"/>
        <sz val="9"/>
        <rFont val="Times New Roman"/>
        <family val="1"/>
      </rPr>
      <t>0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w x</t>
    </r>
    <r>
      <rPr>
        <b/>
        <i/>
        <vertAlign val="subscript"/>
        <sz val="9"/>
        <rFont val="Times New Roman"/>
        <family val="1"/>
      </rPr>
      <t>0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2 </t>
    </r>
    <r>
      <rPr>
        <b/>
        <sz val="9"/>
        <rFont val="Times New Roman"/>
        <family val="1"/>
      </rPr>
      <t>)</t>
    </r>
    <phoneticPr fontId="1" type="noConversion"/>
  </si>
  <si>
    <t>(1) FORMULARS TO CALCULATION</t>
    <phoneticPr fontId="1" type="noConversion"/>
  </si>
  <si>
    <r>
      <t>R</t>
    </r>
    <r>
      <rPr>
        <b/>
        <i/>
        <vertAlign val="subscript"/>
        <sz val="9"/>
        <rFont val="Times New Roman"/>
        <family val="1"/>
      </rPr>
      <t>A</t>
    </r>
    <phoneticPr fontId="1" type="noConversion"/>
  </si>
  <si>
    <t>=</t>
    <phoneticPr fontId="1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</si>
  <si>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1" type="noConversion"/>
  </si>
  <si>
    <t>:</t>
    <phoneticPr fontId="1" type="noConversion"/>
  </si>
  <si>
    <t>Reaction Force</t>
    <phoneticPr fontId="1" type="noConversion"/>
  </si>
  <si>
    <r>
      <t>R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</si>
  <si>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 + a </t>
    </r>
    <r>
      <rPr>
        <b/>
        <sz val="9"/>
        <rFont val="Times New Roman"/>
        <family val="1"/>
      </rPr>
      <t>)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1" type="noConversion"/>
  </si>
  <si>
    <r>
      <t>M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</si>
  <si>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r>
      <t>w a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2</t>
    </r>
    <phoneticPr fontId="1" type="noConversion"/>
  </si>
  <si>
    <t>Bending Moment</t>
    <phoneticPr fontId="1" type="noConversion"/>
  </si>
  <si>
    <r>
      <t>M</t>
    </r>
    <r>
      <rPr>
        <b/>
        <i/>
        <vertAlign val="subscript"/>
        <sz val="9"/>
        <rFont val="Times New Roman"/>
        <family val="1"/>
      </rPr>
      <t>MAX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</si>
  <si>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5w L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M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>*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16 EI </t>
    </r>
    <r>
      <rPr>
        <b/>
        <sz val="9"/>
        <rFont val="Times New Roman"/>
        <family val="1"/>
      </rPr>
      <t>)      :</t>
    </r>
    <phoneticPr fontId="1" type="noConversion"/>
  </si>
  <si>
    <t>Max. Deflection</t>
    <phoneticPr fontId="1" type="noConversion"/>
  </si>
  <si>
    <t>L</t>
    <phoneticPr fontId="1" type="noConversion"/>
  </si>
  <si>
    <t>:</t>
    <phoneticPr fontId="1" type="noConversion"/>
  </si>
  <si>
    <t>a</t>
    <phoneticPr fontId="1" type="noConversion"/>
  </si>
  <si>
    <t>=</t>
    <phoneticPr fontId="1" type="noConversion"/>
  </si>
  <si>
    <t>:</t>
    <phoneticPr fontId="1" type="noConversion"/>
  </si>
  <si>
    <r>
      <t>x</t>
    </r>
    <r>
      <rPr>
        <b/>
        <vertAlign val="subscript"/>
        <sz val="9"/>
        <rFont val="Times New Roman"/>
        <family val="1"/>
      </rPr>
      <t>1</t>
    </r>
    <phoneticPr fontId="1" type="noConversion"/>
  </si>
  <si>
    <t>=</t>
    <phoneticPr fontId="1" type="noConversion"/>
  </si>
  <si>
    <r>
      <t>Span,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: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1" type="noConversion"/>
  </si>
  <si>
    <t>w</t>
    <phoneticPr fontId="1" type="noConversion"/>
  </si>
  <si>
    <t>=</t>
    <phoneticPr fontId="1" type="noConversion"/>
  </si>
  <si>
    <t>:</t>
    <phoneticPr fontId="1" type="noConversion"/>
  </si>
  <si>
    <t>Lineal Load</t>
    <phoneticPr fontId="1" type="noConversion"/>
  </si>
  <si>
    <t>E</t>
    <phoneticPr fontId="1" type="noConversion"/>
  </si>
  <si>
    <t>Modulus of Elasticity</t>
    <phoneticPr fontId="1" type="noConversion"/>
  </si>
  <si>
    <t>I</t>
    <phoneticPr fontId="1" type="noConversion"/>
  </si>
  <si>
    <t>Moment of Inertia</t>
    <phoneticPr fontId="1" type="noConversion"/>
  </si>
  <si>
    <t>(2) INPUT DATA</t>
    <phoneticPr fontId="1" type="noConversion"/>
  </si>
  <si>
    <t>(3) OUTPUT DATA</t>
    <phoneticPr fontId="1" type="noConversion"/>
  </si>
  <si>
    <t xml:space="preserve"> </t>
    <phoneticPr fontId="1" type="noConversion"/>
  </si>
  <si>
    <r>
      <t>R</t>
    </r>
    <r>
      <rPr>
        <b/>
        <i/>
        <vertAlign val="subscript"/>
        <sz val="9"/>
        <rFont val="Times New Roman"/>
        <family val="1"/>
      </rPr>
      <t>A</t>
    </r>
    <r>
      <rPr>
        <b/>
        <sz val="11"/>
        <rFont val="한컴바탕"/>
        <family val="1"/>
        <charset val="129"/>
      </rPr>
      <t/>
    </r>
    <phoneticPr fontId="1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</si>
  <si>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1" type="noConversion"/>
  </si>
  <si>
    <r>
      <t xml:space="preserve">w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L + a </t>
    </r>
    <r>
      <rPr>
        <b/>
        <sz val="9"/>
        <color indexed="8"/>
        <rFont val="Times New Roman"/>
        <family val="1"/>
      </rPr>
      <t>)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2 L </t>
    </r>
    <r>
      <rPr>
        <b/>
        <sz val="9"/>
        <color indexed="8"/>
        <rFont val="Times New Roman"/>
        <family val="1"/>
      </rPr>
      <t>)</t>
    </r>
    <phoneticPr fontId="1" type="noConversion"/>
  </si>
  <si>
    <r>
      <t>M</t>
    </r>
    <r>
      <rPr>
        <b/>
        <i/>
        <vertAlign val="subscript"/>
        <sz val="9"/>
        <rFont val="Times New Roman"/>
        <family val="1"/>
      </rPr>
      <t>B</t>
    </r>
    <r>
      <rPr>
        <b/>
        <sz val="11"/>
        <rFont val="한컴바탕"/>
        <family val="1"/>
        <charset val="129"/>
      </rPr>
      <t/>
    </r>
    <phoneticPr fontId="1" type="noConversion"/>
  </si>
  <si>
    <r>
      <t>w 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2</t>
    </r>
    <phoneticPr fontId="1" type="noConversion"/>
  </si>
  <si>
    <r>
      <t>M</t>
    </r>
    <r>
      <rPr>
        <b/>
        <i/>
        <vertAlign val="subscript"/>
        <sz val="9"/>
        <rFont val="Times New Roman"/>
        <family val="1"/>
      </rPr>
      <t>MAX1</t>
    </r>
    <phoneticPr fontId="1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</si>
  <si>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R</t>
    </r>
    <r>
      <rPr>
        <b/>
        <i/>
        <vertAlign val="subscript"/>
        <sz val="9"/>
        <color indexed="8"/>
        <rFont val="Times New Roman"/>
        <family val="1"/>
      </rPr>
      <t>A</t>
    </r>
    <r>
      <rPr>
        <b/>
        <i/>
        <sz val="9"/>
        <color indexed="8"/>
        <rFont val="Times New Roman"/>
        <family val="1"/>
      </rPr>
      <t xml:space="preserve"> * x</t>
    </r>
    <r>
      <rPr>
        <b/>
        <i/>
        <vertAlign val="subscript"/>
        <sz val="9"/>
        <color indexed="8"/>
        <rFont val="Times New Roman"/>
        <family val="1"/>
      </rPr>
      <t>1</t>
    </r>
    <r>
      <rPr>
        <b/>
        <i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-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wx</t>
    </r>
    <r>
      <rPr>
        <b/>
        <i/>
        <vertAlign val="subscript"/>
        <sz val="9"/>
        <color indexed="8"/>
        <rFont val="Times New Roman"/>
        <family val="1"/>
      </rPr>
      <t>1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2 </t>
    </r>
    <r>
      <rPr>
        <b/>
        <sz val="9"/>
        <color indexed="8"/>
        <rFont val="Times New Roman"/>
        <family val="1"/>
      </rPr>
      <t>)</t>
    </r>
    <phoneticPr fontId="1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</si>
  <si>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wa</t>
    </r>
    <r>
      <rPr>
        <b/>
        <i/>
        <vertAlign val="superscript"/>
        <sz val="9"/>
        <color indexed="8"/>
        <rFont val="Times New Roman"/>
        <family val="1"/>
      </rPr>
      <t>4</t>
    </r>
    <r>
      <rPr>
        <b/>
        <i/>
        <sz val="9"/>
        <color indexed="8"/>
        <rFont val="Times New Roman"/>
        <family val="1"/>
      </rPr>
      <t xml:space="preserve"> / 8 EI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+ </t>
    </r>
    <r>
      <rPr>
        <b/>
        <sz val="9"/>
        <color indexed="8"/>
        <rFont val="Times New Roman"/>
        <family val="1"/>
      </rPr>
      <t>( (</t>
    </r>
    <r>
      <rPr>
        <b/>
        <i/>
        <sz val="9"/>
        <color indexed="8"/>
        <rFont val="Times New Roman"/>
        <family val="1"/>
      </rPr>
      <t xml:space="preserve"> w L a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4a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- L</t>
    </r>
    <r>
      <rPr>
        <b/>
        <i/>
        <vertAlign val="superscript"/>
        <sz val="9"/>
        <color indexed="8"/>
        <rFont val="Times New Roman"/>
        <family val="1"/>
      </rPr>
      <t xml:space="preserve">2 </t>
    </r>
    <r>
      <rPr>
        <b/>
        <i/>
        <sz val="9"/>
        <color indexed="8"/>
        <rFont val="Times New Roman"/>
        <family val="1"/>
      </rPr>
      <t xml:space="preserve">)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/  24 EI </t>
    </r>
    <r>
      <rPr>
        <b/>
        <sz val="9"/>
        <color indexed="8"/>
        <rFont val="Times New Roman"/>
        <family val="1"/>
      </rPr>
      <t>)</t>
    </r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</si>
  <si>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MAX1</t>
    </r>
    <phoneticPr fontId="1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</si>
  <si>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5 wL</t>
    </r>
    <r>
      <rPr>
        <b/>
        <i/>
        <vertAlign val="superscript"/>
        <sz val="9"/>
        <color indexed="8"/>
        <rFont val="Times New Roman"/>
        <family val="1"/>
      </rPr>
      <t>4</t>
    </r>
    <r>
      <rPr>
        <b/>
        <i/>
        <sz val="9"/>
        <color indexed="8"/>
        <rFont val="Times New Roman"/>
        <family val="1"/>
      </rPr>
      <t xml:space="preserve"> / 384 EI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-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M</t>
    </r>
    <r>
      <rPr>
        <b/>
        <i/>
        <vertAlign val="subscript"/>
        <sz val="9"/>
        <color indexed="8"/>
        <rFont val="Times New Roman"/>
        <family val="1"/>
      </rPr>
      <t xml:space="preserve">B </t>
    </r>
    <r>
      <rPr>
        <b/>
        <i/>
        <sz val="9"/>
        <color indexed="8"/>
        <rFont val="Times New Roman"/>
        <family val="1"/>
      </rPr>
      <t>L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16 EI </t>
    </r>
    <r>
      <rPr>
        <b/>
        <sz val="9"/>
        <color indexed="8"/>
        <rFont val="Times New Roman"/>
        <family val="1"/>
      </rPr>
      <t>)</t>
    </r>
    <phoneticPr fontId="1" type="noConversion"/>
  </si>
  <si>
    <t>(1) FORMULARS TO CALCULATION</t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</si>
  <si>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 * a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L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</si>
  <si>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a + L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L * P</t>
    </r>
    <r>
      <rPr>
        <b/>
        <i/>
        <vertAlign val="subscript"/>
        <sz val="9"/>
        <rFont val="Times New Roman"/>
        <family val="1"/>
      </rPr>
      <t>W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</si>
  <si>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 * a </t>
    </r>
    <r>
      <rPr>
        <b/>
        <sz val="9"/>
        <rFont val="Times New Roman"/>
        <family val="1"/>
      </rPr>
      <t xml:space="preserve">) </t>
    </r>
    <r>
      <rPr>
        <b/>
        <i/>
        <sz val="9"/>
        <rFont val="Times New Roman"/>
        <family val="1"/>
      </rPr>
      <t xml:space="preserve"> /  L</t>
    </r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</si>
  <si>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3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E.J ~ Anchor</t>
    </r>
    <r>
      <rPr>
        <b/>
        <sz val="9"/>
        <rFont val="Times New Roman"/>
        <family val="1"/>
      </rPr>
      <t xml:space="preserve"> )</t>
    </r>
    <phoneticPr fontId="1" type="noConversion"/>
  </si>
  <si>
    <t>a</t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</si>
  <si>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Anchor ~ E.J</t>
    </r>
    <r>
      <rPr>
        <b/>
        <sz val="9"/>
        <rFont val="Times New Roman"/>
        <family val="1"/>
      </rPr>
      <t xml:space="preserve"> )</t>
    </r>
    <phoneticPr fontId="1" type="noConversion"/>
  </si>
  <si>
    <r>
      <t>P</t>
    </r>
    <r>
      <rPr>
        <b/>
        <i/>
        <vertAlign val="subscript"/>
        <sz val="9"/>
        <color indexed="8"/>
        <rFont val="Times New Roman"/>
        <family val="1"/>
      </rPr>
      <t>0</t>
    </r>
    <phoneticPr fontId="1" type="noConversion"/>
  </si>
  <si>
    <t>:</t>
    <phoneticPr fontId="1" type="noConversion"/>
  </si>
  <si>
    <r>
      <t xml:space="preserve">Nodal Load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CASE 1 , = R</t>
    </r>
    <r>
      <rPr>
        <b/>
        <vertAlign val="subscript"/>
        <sz val="9"/>
        <rFont val="Times New Roman"/>
        <family val="1"/>
      </rPr>
      <t>A</t>
    </r>
    <r>
      <rPr>
        <b/>
        <sz val="9"/>
        <rFont val="Times New Roman"/>
        <family val="1"/>
      </rPr>
      <t xml:space="preserve"> )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</si>
  <si>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 * a </t>
    </r>
    <r>
      <rPr>
        <b/>
        <sz val="9"/>
        <rFont val="Times New Roman"/>
        <family val="1"/>
      </rPr>
      <t xml:space="preserve">) </t>
    </r>
    <r>
      <rPr>
        <b/>
        <i/>
        <sz val="9"/>
        <rFont val="Times New Roman"/>
        <family val="1"/>
      </rPr>
      <t xml:space="preserve"> /  L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</si>
  <si>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a + L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L * P</t>
    </r>
    <r>
      <rPr>
        <b/>
        <i/>
        <vertAlign val="subscript"/>
        <sz val="9"/>
        <rFont val="Times New Roman"/>
        <family val="1"/>
      </rPr>
      <t>W</t>
    </r>
    <phoneticPr fontId="1" type="noConversion"/>
  </si>
  <si>
    <t>P * a</t>
    <phoneticPr fontId="1" type="noConversion"/>
  </si>
  <si>
    <r>
      <t>M</t>
    </r>
    <r>
      <rPr>
        <b/>
        <i/>
        <vertAlign val="subscript"/>
        <sz val="9"/>
        <rFont val="Times New Roman"/>
        <family val="1"/>
      </rPr>
      <t>x1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</si>
  <si>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 * a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*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/ L </t>
    </r>
    <r>
      <rPr>
        <b/>
        <sz val="9"/>
        <rFont val="Times New Roman"/>
        <family val="1"/>
      </rPr>
      <t>)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</si>
  <si>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= L /</t>
    </r>
    <r>
      <rPr>
        <b/>
        <sz val="9"/>
        <rFont val="한컴돋움"/>
        <family val="1"/>
        <charset val="129"/>
      </rPr>
      <t>√</t>
    </r>
    <r>
      <rPr>
        <b/>
        <i/>
        <sz val="9"/>
        <rFont val="Times New Roman"/>
        <family val="1"/>
      </rPr>
      <t xml:space="preserve">3 </t>
    </r>
    <r>
      <rPr>
        <b/>
        <sz val="9"/>
        <rFont val="Times New Roman"/>
        <family val="1"/>
      </rPr>
      <t>)</t>
    </r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</si>
  <si>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MAX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</si>
  <si>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0.0642 P a *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EI </t>
    </r>
    <r>
      <rPr>
        <b/>
        <sz val="9"/>
        <rFont val="Times New Roman"/>
        <family val="1"/>
      </rPr>
      <t>)</t>
    </r>
    <phoneticPr fontId="1" type="noConversion"/>
  </si>
  <si>
    <r>
      <t>x</t>
    </r>
    <r>
      <rPr>
        <b/>
        <i/>
        <vertAlign val="subscript"/>
        <sz val="9"/>
        <rFont val="Times New Roman"/>
        <family val="1"/>
      </rPr>
      <t>1</t>
    </r>
    <phoneticPr fontId="1" type="noConversion"/>
  </si>
  <si>
    <r>
      <t>Span,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: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1" type="noConversion"/>
  </si>
  <si>
    <r>
      <t xml:space="preserve">Nodal Load 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CASE 1 , = R</t>
    </r>
    <r>
      <rPr>
        <b/>
        <i/>
        <vertAlign val="subscript"/>
        <sz val="9"/>
        <rFont val="Times New Roman"/>
        <family val="1"/>
      </rPr>
      <t>A</t>
    </r>
    <r>
      <rPr>
        <b/>
        <sz val="9"/>
        <rFont val="Times New Roman"/>
        <family val="1"/>
      </rPr>
      <t xml:space="preserve"> )</t>
    </r>
    <phoneticPr fontId="1" type="noConversion"/>
  </si>
  <si>
    <t>P</t>
    <phoneticPr fontId="1" type="noConversion"/>
  </si>
  <si>
    <t>=</t>
    <phoneticPr fontId="1" type="noConversion"/>
  </si>
  <si>
    <r>
      <t xml:space="preserve">Nodal Load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</t>
    </r>
    <r>
      <rPr>
        <b/>
        <i/>
        <vertAlign val="subscript"/>
        <sz val="9"/>
        <rFont val="Times New Roman"/>
        <family val="1"/>
      </rPr>
      <t>0</t>
    </r>
    <r>
      <rPr>
        <b/>
        <i/>
        <sz val="9"/>
        <rFont val="Times New Roman"/>
        <family val="1"/>
      </rPr>
      <t xml:space="preserve"> - R</t>
    </r>
    <r>
      <rPr>
        <b/>
        <i/>
        <vertAlign val="subscript"/>
        <sz val="9"/>
        <rFont val="Times New Roman"/>
        <family val="1"/>
      </rPr>
      <t xml:space="preserve">A </t>
    </r>
    <r>
      <rPr>
        <b/>
        <sz val="9"/>
        <rFont val="Times New Roman"/>
        <family val="1"/>
      </rPr>
      <t>)</t>
    </r>
    <phoneticPr fontId="1" type="noConversion"/>
  </si>
  <si>
    <t>E</t>
    <phoneticPr fontId="1" type="noConversion"/>
  </si>
  <si>
    <t>:</t>
    <phoneticPr fontId="1" type="noConversion"/>
  </si>
  <si>
    <t>Modulus of Elasticity</t>
    <phoneticPr fontId="1" type="noConversion"/>
  </si>
  <si>
    <t>I</t>
    <phoneticPr fontId="1" type="noConversion"/>
  </si>
  <si>
    <t>=</t>
    <phoneticPr fontId="1" type="noConversion"/>
  </si>
  <si>
    <t>:</t>
    <phoneticPr fontId="1" type="noConversion"/>
  </si>
  <si>
    <t>Moment of Inertia</t>
    <phoneticPr fontId="1" type="noConversion"/>
  </si>
  <si>
    <t>=</t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</si>
  <si>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C3</t>
    </r>
    <phoneticPr fontId="1" type="noConversion"/>
  </si>
  <si>
    <r>
      <rPr>
        <b/>
        <sz val="9"/>
        <color indexed="8"/>
        <rFont val="Times New Roman"/>
        <family val="1"/>
      </rPr>
      <t>( (</t>
    </r>
    <r>
      <rPr>
        <b/>
        <i/>
        <sz val="9"/>
        <color indexed="8"/>
        <rFont val="Times New Roman"/>
        <family val="1"/>
      </rPr>
      <t xml:space="preserve"> P 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L + a </t>
    </r>
    <r>
      <rPr>
        <b/>
        <sz val="9"/>
        <color indexed="8"/>
        <rFont val="Times New Roman"/>
        <family val="1"/>
      </rPr>
      <t>) )</t>
    </r>
    <r>
      <rPr>
        <b/>
        <i/>
        <sz val="9"/>
        <color indexed="8"/>
        <rFont val="Times New Roman"/>
        <family val="1"/>
      </rPr>
      <t xml:space="preserve"> / 3EI </t>
    </r>
    <r>
      <rPr>
        <b/>
        <sz val="9"/>
        <color indexed="8"/>
        <rFont val="Times New Roman"/>
        <family val="1"/>
      </rPr>
      <t>)</t>
    </r>
    <phoneticPr fontId="1" type="noConversion"/>
  </si>
  <si>
    <t>=</t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</si>
  <si>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MAX3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</si>
  <si>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0.0642 P a *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EI </t>
    </r>
    <r>
      <rPr>
        <b/>
        <sz val="9"/>
        <rFont val="Times New Roman"/>
        <family val="1"/>
      </rPr>
      <t>)</t>
    </r>
    <phoneticPr fontId="1" type="noConversion"/>
  </si>
  <si>
    <t>* 자동 1 입력시 입력부분</t>
    <phoneticPr fontId="1" type="noConversion"/>
  </si>
  <si>
    <t>* 수동 2 입력시 입력부분</t>
    <phoneticPr fontId="1" type="noConversion"/>
  </si>
  <si>
    <t>-. Tubular Shapes</t>
    <phoneticPr fontId="1" type="noConversion"/>
  </si>
  <si>
    <t>F.3.1</t>
    <phoneticPr fontId="1" type="noConversion"/>
  </si>
  <si>
    <t>#.</t>
    <phoneticPr fontId="1" type="noConversion"/>
  </si>
  <si>
    <t>6063-</t>
    <phoneticPr fontId="1" type="noConversion"/>
  </si>
  <si>
    <t xml:space="preserve">STEP. 1 </t>
    <phoneticPr fontId="1" type="noConversion"/>
  </si>
  <si>
    <r>
      <t>2*L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>S</t>
    </r>
    <r>
      <rPr>
        <b/>
        <i/>
        <vertAlign val="subscript"/>
        <sz val="9"/>
        <rFont val="Times New Roman"/>
        <family val="1"/>
      </rPr>
      <t>X</t>
    </r>
    <phoneticPr fontId="1" type="noConversion"/>
  </si>
  <si>
    <t>=</t>
  </si>
  <si>
    <t>S  ≤  S₁</t>
    <phoneticPr fontId="1" type="noConversion"/>
  </si>
  <si>
    <r>
      <t>S</t>
    </r>
    <r>
      <rPr>
        <b/>
        <vertAlign val="subscript"/>
        <sz val="9"/>
        <rFont val="한컴바탕"/>
        <family val="1"/>
        <charset val="129"/>
      </rPr>
      <t>1</t>
    </r>
    <phoneticPr fontId="1" type="noConversion"/>
  </si>
  <si>
    <r>
      <t>S</t>
    </r>
    <r>
      <rPr>
        <b/>
        <vertAlign val="subscript"/>
        <sz val="9"/>
        <rFont val="한컴바탕"/>
        <family val="1"/>
        <charset val="129"/>
      </rPr>
      <t>2</t>
    </r>
    <phoneticPr fontId="1" type="noConversion"/>
  </si>
  <si>
    <r>
      <t>I</t>
    </r>
    <r>
      <rPr>
        <b/>
        <i/>
        <vertAlign val="subscript"/>
        <sz val="9"/>
        <rFont val="Times New Roman"/>
        <family val="1"/>
      </rPr>
      <t>Y</t>
    </r>
    <phoneticPr fontId="1" type="noConversion"/>
  </si>
  <si>
    <r>
      <rPr>
        <b/>
        <i/>
        <sz val="9"/>
        <rFont val="한컴돋움"/>
        <family val="1"/>
        <charset val="129"/>
      </rPr>
      <t>√</t>
    </r>
    <r>
      <rPr>
        <b/>
        <i/>
        <sz val="9"/>
        <rFont val="Times New Roman"/>
        <family val="1"/>
      </rPr>
      <t>I</t>
    </r>
    <r>
      <rPr>
        <b/>
        <i/>
        <vertAlign val="subscript"/>
        <sz val="9"/>
        <rFont val="Times New Roman"/>
        <family val="1"/>
      </rPr>
      <t>Y</t>
    </r>
    <r>
      <rPr>
        <b/>
        <i/>
        <sz val="9"/>
        <rFont val="Times New Roman"/>
        <family val="1"/>
      </rPr>
      <t>J</t>
    </r>
    <phoneticPr fontId="1" type="noConversion"/>
  </si>
  <si>
    <t>S₁</t>
    <phoneticPr fontId="1" type="noConversion"/>
  </si>
  <si>
    <t>S₁&lt;  S  &lt; S₂</t>
    <phoneticPr fontId="1" type="noConversion"/>
  </si>
  <si>
    <t>STEP. 2</t>
    <phoneticPr fontId="1" type="noConversion"/>
  </si>
  <si>
    <t>J</t>
    <phoneticPr fontId="1" type="noConversion"/>
  </si>
  <si>
    <t>=</t>
    <phoneticPr fontId="1" type="noConversion"/>
  </si>
  <si>
    <t>S₂</t>
    <phoneticPr fontId="1" type="noConversion"/>
  </si>
  <si>
    <t>S</t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</si>
  <si>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>b1</t>
    </r>
    <phoneticPr fontId="1" type="noConversion"/>
  </si>
  <si>
    <t>S  ≥  S₂</t>
    <phoneticPr fontId="1" type="noConversion"/>
  </si>
  <si>
    <t xml:space="preserve">-. Flat Elements Supported On Both Edges </t>
    <phoneticPr fontId="1" type="noConversion"/>
  </si>
  <si>
    <t>B.5.4.2</t>
    <phoneticPr fontId="1" type="noConversion"/>
  </si>
  <si>
    <t>#.</t>
    <phoneticPr fontId="1" type="noConversion"/>
  </si>
  <si>
    <t>6063-</t>
    <phoneticPr fontId="1" type="noConversion"/>
  </si>
  <si>
    <t xml:space="preserve">STEP. 1 </t>
    <phoneticPr fontId="1" type="noConversion"/>
  </si>
  <si>
    <t>b</t>
    <phoneticPr fontId="1" type="noConversion"/>
  </si>
  <si>
    <t>=</t>
    <phoneticPr fontId="1" type="noConversion"/>
  </si>
  <si>
    <t>S₁&lt;  S  &lt; S₂</t>
    <phoneticPr fontId="1" type="noConversion"/>
  </si>
  <si>
    <t>STEP. 2</t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</si>
  <si>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>b2</t>
    </r>
    <phoneticPr fontId="1" type="noConversion"/>
  </si>
  <si>
    <t>S₂</t>
    <phoneticPr fontId="1" type="noConversion"/>
  </si>
  <si>
    <t>S</t>
    <phoneticPr fontId="1" type="noConversion"/>
  </si>
  <si>
    <t>S  ≥  S₂</t>
    <phoneticPr fontId="1" type="noConversion"/>
  </si>
  <si>
    <t xml:space="preserve">-. Flat Elements Supported On Both Edges </t>
    <phoneticPr fontId="1" type="noConversion"/>
  </si>
  <si>
    <t>B.5.5.1</t>
    <phoneticPr fontId="1" type="noConversion"/>
  </si>
  <si>
    <t>#.</t>
    <phoneticPr fontId="1" type="noConversion"/>
  </si>
  <si>
    <t>6063-</t>
    <phoneticPr fontId="1" type="noConversion"/>
  </si>
  <si>
    <t xml:space="preserve">STEP. 1 </t>
    <phoneticPr fontId="1" type="noConversion"/>
  </si>
  <si>
    <t>STEP. 3</t>
    <phoneticPr fontId="1" type="noConversion"/>
  </si>
  <si>
    <t>h</t>
    <phoneticPr fontId="1" type="noConversion"/>
  </si>
  <si>
    <t>S  ≤  S₁</t>
    <phoneticPr fontId="1" type="noConversion"/>
  </si>
  <si>
    <r>
      <t>S</t>
    </r>
    <r>
      <rPr>
        <b/>
        <vertAlign val="subscript"/>
        <sz val="9"/>
        <rFont val="한컴바탕"/>
        <family val="1"/>
        <charset val="129"/>
      </rPr>
      <t>1</t>
    </r>
    <phoneticPr fontId="1" type="noConversion"/>
  </si>
  <si>
    <r>
      <t>S</t>
    </r>
    <r>
      <rPr>
        <b/>
        <vertAlign val="subscript"/>
        <sz val="9"/>
        <rFont val="한컴바탕"/>
        <family val="1"/>
        <charset val="129"/>
      </rPr>
      <t>2</t>
    </r>
    <phoneticPr fontId="1" type="noConversion"/>
  </si>
  <si>
    <t>t</t>
    <phoneticPr fontId="1" type="noConversion"/>
  </si>
  <si>
    <t>S₁</t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</si>
  <si>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>b3</t>
    </r>
    <phoneticPr fontId="1" type="noConversion"/>
  </si>
  <si>
    <t>-. Calculate Actual Stress</t>
    <phoneticPr fontId="1" type="noConversion"/>
  </si>
  <si>
    <t xml:space="preserve">   /</t>
    <phoneticPr fontId="1" type="noConversion"/>
  </si>
  <si>
    <t>Determine Allowable Stress</t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</si>
  <si>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</si>
  <si>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</si>
  <si>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r>
      <t>MIN ( F</t>
    </r>
    <r>
      <rPr>
        <b/>
        <i/>
        <vertAlign val="subscript"/>
        <sz val="9"/>
        <rFont val="Times New Roman"/>
        <family val="1"/>
      </rPr>
      <t>b1</t>
    </r>
    <r>
      <rPr>
        <b/>
        <i/>
        <sz val="9"/>
        <rFont val="Times New Roman"/>
        <family val="1"/>
      </rPr>
      <t xml:space="preserve"> , F</t>
    </r>
    <r>
      <rPr>
        <b/>
        <i/>
        <vertAlign val="subscript"/>
        <sz val="9"/>
        <rFont val="Times New Roman"/>
        <family val="1"/>
      </rPr>
      <t>b2</t>
    </r>
    <r>
      <rPr>
        <b/>
        <i/>
        <sz val="9"/>
        <rFont val="Times New Roman"/>
        <family val="1"/>
      </rPr>
      <t xml:space="preserve"> , F</t>
    </r>
    <r>
      <rPr>
        <b/>
        <i/>
        <vertAlign val="subscript"/>
        <sz val="9"/>
        <rFont val="Times New Roman"/>
        <family val="1"/>
      </rPr>
      <t>b3</t>
    </r>
    <r>
      <rPr>
        <b/>
        <i/>
        <sz val="9"/>
        <rFont val="Times New Roman"/>
        <family val="1"/>
      </rPr>
      <t xml:space="preserve"> )</t>
    </r>
    <phoneticPr fontId="1" type="noConversion"/>
  </si>
  <si>
    <t>-. Check Stress Stability</t>
    <phoneticPr fontId="1" type="noConversion"/>
  </si>
  <si>
    <t>STEP. 3</t>
    <phoneticPr fontId="1" type="noConversion"/>
  </si>
  <si>
    <r>
      <t>L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</si>
  <si>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t>4) BENDING STRESS CHECK</t>
    <phoneticPr fontId="1" type="noConversion"/>
  </si>
  <si>
    <t>J</t>
    <phoneticPr fontId="1" type="noConversion"/>
  </si>
  <si>
    <r>
      <t>t</t>
    </r>
    <r>
      <rPr>
        <b/>
        <i/>
        <vertAlign val="subscript"/>
        <sz val="9"/>
        <rFont val="Times New Roman"/>
        <family val="1"/>
      </rPr>
      <t>1</t>
    </r>
    <phoneticPr fontId="1" type="noConversion"/>
  </si>
  <si>
    <r>
      <t>t</t>
    </r>
    <r>
      <rPr>
        <b/>
        <i/>
        <vertAlign val="subscript"/>
        <sz val="9"/>
        <rFont val="Times New Roman"/>
        <family val="1"/>
      </rPr>
      <t>2</t>
    </r>
    <phoneticPr fontId="1" type="noConversion"/>
  </si>
  <si>
    <t>J</t>
    <phoneticPr fontId="38" type="noConversion"/>
  </si>
  <si>
    <t>단변길이</t>
    <phoneticPr fontId="1" type="noConversion"/>
  </si>
  <si>
    <t>장변길이</t>
    <phoneticPr fontId="1" type="noConversion"/>
  </si>
  <si>
    <t>단변두께</t>
    <phoneticPr fontId="1" type="noConversion"/>
  </si>
  <si>
    <t>장변두께</t>
    <phoneticPr fontId="1" type="noConversion"/>
  </si>
  <si>
    <t>STEP. 3</t>
    <phoneticPr fontId="1" type="noConversion"/>
  </si>
  <si>
    <t>6063 -</t>
    <phoneticPr fontId="1" type="noConversion"/>
  </si>
  <si>
    <t>b  /  t</t>
    <phoneticPr fontId="1" type="noConversion"/>
  </si>
  <si>
    <t>h  /  t</t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</si>
  <si>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 xml:space="preserve">b  </t>
    </r>
    <r>
      <rPr>
        <b/>
        <i/>
        <sz val="9"/>
        <rFont val="Times New Roman"/>
        <family val="1"/>
      </rPr>
      <t>/  F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</si>
  <si>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M</t>
    </r>
    <r>
      <rPr>
        <b/>
        <i/>
        <sz val="9"/>
        <rFont val="Times New Roman"/>
        <family val="1"/>
      </rPr>
      <t xml:space="preserve">  /  δ</t>
    </r>
    <r>
      <rPr>
        <b/>
        <i/>
        <vertAlign val="subscript"/>
        <sz val="9"/>
        <rFont val="Times New Roman"/>
        <family val="1"/>
      </rPr>
      <t>Allow</t>
    </r>
    <phoneticPr fontId="1" type="noConversion"/>
  </si>
  <si>
    <r>
      <t>Z</t>
    </r>
    <r>
      <rPr>
        <b/>
        <i/>
        <vertAlign val="subscript"/>
        <sz val="9"/>
        <rFont val="Times New Roman"/>
        <family val="1"/>
      </rPr>
      <t>X</t>
    </r>
    <phoneticPr fontId="38" type="noConversion"/>
  </si>
  <si>
    <r>
      <t>I</t>
    </r>
    <r>
      <rPr>
        <b/>
        <i/>
        <vertAlign val="subscript"/>
        <sz val="9"/>
        <rFont val="Times New Roman"/>
        <family val="1"/>
      </rPr>
      <t>X</t>
    </r>
    <phoneticPr fontId="38" type="noConversion"/>
  </si>
  <si>
    <r>
      <t>I</t>
    </r>
    <r>
      <rPr>
        <b/>
        <i/>
        <vertAlign val="subscript"/>
        <sz val="9"/>
        <rFont val="Times New Roman"/>
        <family val="1"/>
      </rPr>
      <t>Y</t>
    </r>
    <phoneticPr fontId="38" type="noConversion"/>
  </si>
  <si>
    <r>
      <t>Z</t>
    </r>
    <r>
      <rPr>
        <b/>
        <i/>
        <vertAlign val="subscript"/>
        <sz val="9"/>
        <rFont val="Times New Roman"/>
        <family val="1"/>
      </rPr>
      <t>X</t>
    </r>
    <phoneticPr fontId="1" type="noConversion"/>
  </si>
  <si>
    <r>
      <t>e</t>
    </r>
    <r>
      <rPr>
        <b/>
        <i/>
        <vertAlign val="subscript"/>
        <sz val="9"/>
        <rFont val="Times New Roman"/>
        <family val="1"/>
      </rPr>
      <t>1</t>
    </r>
    <phoneticPr fontId="1" type="noConversion"/>
  </si>
  <si>
    <r>
      <t>e</t>
    </r>
    <r>
      <rPr>
        <b/>
        <i/>
        <vertAlign val="subscript"/>
        <sz val="9"/>
        <rFont val="Times New Roman"/>
        <family val="1"/>
      </rPr>
      <t>2</t>
    </r>
    <phoneticPr fontId="1" type="noConversion"/>
  </si>
  <si>
    <t>-. CHECK FOR VERTICAL STEEL T-BAR</t>
    <phoneticPr fontId="1" type="noConversion"/>
  </si>
  <si>
    <r>
      <t>L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/>
    </r>
    <phoneticPr fontId="1" type="noConversion"/>
  </si>
  <si>
    <r>
      <t>A</t>
    </r>
    <r>
      <rPr>
        <b/>
        <i/>
        <vertAlign val="subscript"/>
        <sz val="9"/>
        <rFont val="Times New Roman"/>
        <family val="1"/>
      </rPr>
      <t>f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</si>
  <si>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H - t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t</t>
    </r>
    <r>
      <rPr>
        <b/>
        <i/>
        <vertAlign val="subscript"/>
        <sz val="9"/>
        <rFont val="Times New Roman"/>
        <family val="1"/>
      </rPr>
      <t>1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</si>
  <si>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b / 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t</t>
    </r>
    <r>
      <rPr>
        <b/>
        <i/>
        <vertAlign val="subscript"/>
        <sz val="9"/>
        <rFont val="Times New Roman"/>
        <family val="1"/>
      </rPr>
      <t>2</t>
    </r>
    <phoneticPr fontId="1" type="noConversion"/>
  </si>
  <si>
    <r>
      <t xml:space="preserve">MIN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F</t>
    </r>
    <r>
      <rPr>
        <b/>
        <i/>
        <vertAlign val="subscript"/>
        <sz val="9"/>
        <rFont val="Times New Roman"/>
        <family val="1"/>
      </rPr>
      <t>b1</t>
    </r>
    <r>
      <rPr>
        <b/>
        <i/>
        <sz val="9"/>
        <rFont val="Times New Roman"/>
        <family val="1"/>
      </rPr>
      <t xml:space="preserve"> , F</t>
    </r>
    <r>
      <rPr>
        <b/>
        <i/>
        <vertAlign val="subscript"/>
        <sz val="9"/>
        <rFont val="Times New Roman"/>
        <family val="1"/>
      </rPr>
      <t>b2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phoneticPr fontId="1" type="noConversion"/>
  </si>
  <si>
    <r>
      <t>R</t>
    </r>
    <r>
      <rPr>
        <b/>
        <i/>
        <vertAlign val="subscript"/>
        <sz val="9"/>
        <rFont val="Times New Roman"/>
        <family val="1"/>
      </rPr>
      <t>C</t>
    </r>
    <phoneticPr fontId="1" type="noConversion"/>
  </si>
  <si>
    <r>
      <t>w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+ w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2</t>
    </r>
    <r>
      <rPr>
        <b/>
        <vertAlign val="superscript"/>
        <sz val="12"/>
        <rFont val="한컴바탕"/>
        <family val="1"/>
        <charset val="129"/>
      </rPr>
      <t/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</si>
  <si>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I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I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</si>
  <si>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w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2 -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α w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1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+ w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8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1 + α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sz val="9"/>
        <rFont val="Times New Roman"/>
        <family val="1"/>
      </rPr>
      <t>)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</si>
  <si>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w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2 -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α w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1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+ w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8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1 + α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</si>
  <si>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α w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1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+ w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8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1 + α </t>
    </r>
    <r>
      <rPr>
        <b/>
        <sz val="9"/>
        <rFont val="Times New Roman"/>
        <family val="1"/>
      </rPr>
      <t>) )</t>
    </r>
    <phoneticPr fontId="1" type="noConversion"/>
  </si>
  <si>
    <r>
      <t>w</t>
    </r>
    <r>
      <rPr>
        <b/>
        <i/>
        <vertAlign val="subscript"/>
        <sz val="9"/>
        <rFont val="Times New Roman"/>
        <family val="1"/>
      </rPr>
      <t>1</t>
    </r>
    <r>
      <rPr>
        <b/>
        <sz val="12"/>
        <rFont val="한컴바탕"/>
        <family val="1"/>
        <charset val="129"/>
      </rPr>
      <t/>
    </r>
    <phoneticPr fontId="1" type="noConversion"/>
  </si>
  <si>
    <r>
      <t>w</t>
    </r>
    <r>
      <rPr>
        <b/>
        <i/>
        <vertAlign val="subscript"/>
        <sz val="9"/>
        <rFont val="Times New Roman"/>
        <family val="1"/>
      </rPr>
      <t>2</t>
    </r>
    <phoneticPr fontId="1" type="noConversion"/>
  </si>
  <si>
    <r>
      <t>L</t>
    </r>
    <r>
      <rPr>
        <b/>
        <i/>
        <vertAlign val="subscript"/>
        <sz val="9"/>
        <rFont val="Times New Roman"/>
        <family val="1"/>
      </rPr>
      <t>1</t>
    </r>
    <phoneticPr fontId="1" type="noConversion"/>
  </si>
  <si>
    <r>
      <t>L</t>
    </r>
    <r>
      <rPr>
        <b/>
        <i/>
        <vertAlign val="subscript"/>
        <sz val="9"/>
        <rFont val="Times New Roman"/>
        <family val="1"/>
      </rPr>
      <t>2</t>
    </r>
    <phoneticPr fontId="1" type="noConversion"/>
  </si>
  <si>
    <r>
      <t xml:space="preserve">P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R</t>
    </r>
    <r>
      <rPr>
        <b/>
        <i/>
        <vertAlign val="subscript"/>
        <sz val="9"/>
        <rFont val="Times New Roman"/>
        <family val="1"/>
      </rPr>
      <t>A</t>
    </r>
    <r>
      <rPr>
        <b/>
        <i/>
        <sz val="9"/>
        <rFont val="Times New Roman"/>
        <family val="1"/>
      </rPr>
      <t xml:space="preserve"> + R</t>
    </r>
    <r>
      <rPr>
        <b/>
        <i/>
        <vertAlign val="subscript"/>
        <sz val="9"/>
        <rFont val="Times New Roman"/>
        <family val="1"/>
      </rPr>
      <t xml:space="preserve">B </t>
    </r>
    <r>
      <rPr>
        <b/>
        <sz val="9"/>
        <rFont val="Times New Roman"/>
        <family val="1"/>
      </rPr>
      <t>)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</si>
  <si>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5 w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M</t>
    </r>
    <r>
      <rPr>
        <b/>
        <i/>
        <vertAlign val="subscript"/>
        <sz val="9"/>
        <rFont val="Times New Roman"/>
        <family val="1"/>
      </rPr>
      <t xml:space="preserve">B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16 EI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 xml:space="preserve">) </t>
    </r>
    <r>
      <rPr>
        <b/>
        <sz val="9"/>
        <rFont val="한컴돋움"/>
        <family val="1"/>
        <charset val="129"/>
      </rPr>
      <t xml:space="preserve">  : </t>
    </r>
    <phoneticPr fontId="1" type="noConversion"/>
  </si>
  <si>
    <t>Lineal  Load</t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</si>
  <si>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5 w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M</t>
    </r>
    <r>
      <rPr>
        <b/>
        <i/>
        <vertAlign val="subscript"/>
        <sz val="9"/>
        <rFont val="Times New Roman"/>
        <family val="1"/>
      </rPr>
      <t xml:space="preserve">B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16 EI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phoneticPr fontId="1" type="noConversion"/>
  </si>
  <si>
    <t xml:space="preserve">3) FRAME ANALYSIS </t>
    <phoneticPr fontId="2" type="noConversion"/>
  </si>
  <si>
    <r>
      <t>V</t>
    </r>
    <r>
      <rPr>
        <b/>
        <i/>
        <vertAlign val="subscript"/>
        <sz val="9"/>
        <rFont val="Times New Roman"/>
        <family val="1"/>
      </rPr>
      <t>A</t>
    </r>
    <phoneticPr fontId="1" type="noConversion"/>
  </si>
  <si>
    <t>Shear Force</t>
    <phoneticPr fontId="1" type="noConversion"/>
  </si>
  <si>
    <r>
      <t>w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8</t>
    </r>
    <phoneticPr fontId="1" type="noConversion"/>
  </si>
  <si>
    <t>wL / 2</t>
    <phoneticPr fontId="1" type="noConversion"/>
  </si>
  <si>
    <r>
      <t>V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</si>
  <si>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r>
      <t>5 w L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</t>
    </r>
    <phoneticPr fontId="1" type="noConversion"/>
  </si>
  <si>
    <t>Module Width</t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</si>
  <si>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</si>
  <si>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 xml:space="preserve">b </t>
    </r>
    <r>
      <rPr>
        <b/>
        <sz val="9"/>
        <rFont val="Times New Roman"/>
        <family val="1"/>
      </rPr>
      <t>)</t>
    </r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</si>
  <si>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 xml:space="preserve">b </t>
    </r>
    <r>
      <rPr>
        <b/>
        <sz val="9"/>
        <rFont val="Times New Roman"/>
        <family val="1"/>
      </rPr>
      <t>)</t>
    </r>
    <phoneticPr fontId="1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</si>
  <si>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H = Anchor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1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</si>
  <si>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 = Anchor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~ E.J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1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</si>
  <si>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 = E.J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>~ Anchor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</si>
  <si>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3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E.J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</si>
  <si>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Anchor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~ E.J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1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</si>
  <si>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= Anchor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3</t>
    </r>
    <r>
      <rPr>
        <b/>
        <sz val="9"/>
        <rFont val="Times New Roman"/>
        <family val="1"/>
      </rPr>
      <t xml:space="preserve"> )</t>
    </r>
    <phoneticPr fontId="1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</si>
  <si>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= Anchor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</si>
  <si>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Anchor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3</t>
    </r>
    <r>
      <rPr>
        <b/>
        <sz val="9"/>
        <rFont val="Times New Roman"/>
        <family val="1"/>
      </rPr>
      <t xml:space="preserve"> )</t>
    </r>
    <phoneticPr fontId="1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</si>
  <si>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Anchor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1" type="noConversion"/>
  </si>
  <si>
    <r>
      <t xml:space="preserve">Span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Anchor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phoneticPr fontId="1" type="noConversion"/>
  </si>
  <si>
    <r>
      <t>I</t>
    </r>
    <r>
      <rPr>
        <b/>
        <i/>
        <vertAlign val="subscript"/>
        <sz val="9"/>
        <rFont val="Times New Roman"/>
        <family val="1"/>
      </rPr>
      <t>X.TOTAL</t>
    </r>
    <phoneticPr fontId="1" type="noConversion"/>
  </si>
  <si>
    <r>
      <t xml:space="preserve">Moment of Inertia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AL. + ST'L </t>
    </r>
    <r>
      <rPr>
        <b/>
        <sz val="9"/>
        <rFont val="Times New Roman"/>
        <family val="1"/>
      </rPr>
      <t>)</t>
    </r>
    <phoneticPr fontId="1" type="noConversion"/>
  </si>
  <si>
    <t>ALUM.</t>
    <phoneticPr fontId="38" type="noConversion"/>
  </si>
  <si>
    <t>STEEL</t>
    <phoneticPr fontId="38" type="noConversion"/>
  </si>
  <si>
    <t>(2) STEEL MEMBER</t>
    <phoneticPr fontId="1" type="noConversion"/>
  </si>
  <si>
    <r>
      <t>M</t>
    </r>
    <r>
      <rPr>
        <b/>
        <i/>
        <vertAlign val="subscript"/>
        <sz val="9"/>
        <rFont val="Times New Roman"/>
        <family val="1"/>
      </rPr>
      <t>STEEL</t>
    </r>
    <phoneticPr fontId="1" type="noConversion"/>
  </si>
  <si>
    <r>
      <t>f</t>
    </r>
    <r>
      <rPr>
        <b/>
        <i/>
        <vertAlign val="subscript"/>
        <sz val="9"/>
        <rFont val="Times New Roman"/>
        <family val="1"/>
      </rPr>
      <t>b2</t>
    </r>
    <phoneticPr fontId="1" type="noConversion"/>
  </si>
  <si>
    <t>-. DESIGN WIND PRESSURE (WALL)</t>
    <phoneticPr fontId="1" type="noConversion"/>
  </si>
  <si>
    <t>옹진군</t>
    <phoneticPr fontId="12" type="noConversion"/>
  </si>
  <si>
    <t>인천시 강화군 안산시 시흥시 평택시</t>
    <phoneticPr fontId="12" type="noConversion"/>
  </si>
  <si>
    <t>서울시 김포시 구리시 수원시 군포시 오산시 화성시 의왕시 부천시</t>
    <phoneticPr fontId="12" type="noConversion"/>
  </si>
  <si>
    <t>안성시 연천군 여주시 이천시</t>
    <phoneticPr fontId="12" type="noConversion"/>
  </si>
  <si>
    <r>
      <t xml:space="preserve">속초시 양양군 강릉시 </t>
    </r>
    <r>
      <rPr>
        <b/>
        <sz val="9"/>
        <color rgb="FFFFFF00"/>
        <rFont val="한컴돋움"/>
        <family val="1"/>
        <charset val="129"/>
      </rPr>
      <t>고성군</t>
    </r>
    <phoneticPr fontId="12" type="noConversion"/>
  </si>
  <si>
    <t>동해시 삼척시 홍천군 정선군 인제군</t>
    <phoneticPr fontId="12" type="noConversion"/>
  </si>
  <si>
    <t>양구군</t>
    <phoneticPr fontId="12" type="noConversion"/>
  </si>
  <si>
    <r>
      <t xml:space="preserve">기준 높이 ( </t>
    </r>
    <r>
      <rPr>
        <b/>
        <i/>
        <sz val="9"/>
        <color indexed="8"/>
        <rFont val="Times New Roman"/>
        <family val="1"/>
      </rPr>
      <t xml:space="preserve">H </t>
    </r>
    <r>
      <rPr>
        <b/>
        <sz val="9"/>
        <color indexed="8"/>
        <rFont val="한컴돋움"/>
        <family val="1"/>
        <charset val="129"/>
      </rPr>
      <t>)</t>
    </r>
    <phoneticPr fontId="12" type="noConversion"/>
  </si>
  <si>
    <t>철원군 화천군 춘천시 횡성군 원주시 평창군 영월군 태백시</t>
    <phoneticPr fontId="12" type="noConversion"/>
  </si>
  <si>
    <r>
      <t xml:space="preserve">풍하중산정높이 ( </t>
    </r>
    <r>
      <rPr>
        <b/>
        <i/>
        <sz val="9"/>
        <color indexed="8"/>
        <rFont val="Times New Roman"/>
        <family val="1"/>
      </rPr>
      <t>z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한컴돋움"/>
        <family val="1"/>
        <charset val="129"/>
      </rPr>
      <t>)</t>
    </r>
    <phoneticPr fontId="12" type="noConversion"/>
  </si>
  <si>
    <t>충북</t>
    <phoneticPr fontId="1" type="noConversion"/>
  </si>
  <si>
    <t>청주시</t>
    <phoneticPr fontId="1" type="noConversion"/>
  </si>
  <si>
    <t>세종시</t>
    <phoneticPr fontId="1" type="noConversion"/>
  </si>
  <si>
    <t>진천군</t>
    <phoneticPr fontId="1" type="noConversion"/>
  </si>
  <si>
    <t>증평군 음성군 충주시 제천시 단양군 괴산군 보은군 영동군 옥천군</t>
    <phoneticPr fontId="1" type="noConversion"/>
  </si>
  <si>
    <t>충남</t>
    <phoneticPr fontId="1" type="noConversion"/>
  </si>
  <si>
    <t>서산시 태안군</t>
    <phoneticPr fontId="1" type="noConversion"/>
  </si>
  <si>
    <t>당진시</t>
    <phoneticPr fontId="1" type="noConversion"/>
  </si>
  <si>
    <t xml:space="preserve">서천군 보령시 홍성군 </t>
    <phoneticPr fontId="1" type="noConversion"/>
  </si>
  <si>
    <t>예산군 대전시 공주시 부여군</t>
    <phoneticPr fontId="1" type="noConversion"/>
  </si>
  <si>
    <t>아산시 계룡시</t>
    <phoneticPr fontId="1" type="noConversion"/>
  </si>
  <si>
    <t xml:space="preserve">천안시 청양군 논산시 금산군 </t>
    <phoneticPr fontId="1" type="noConversion"/>
  </si>
  <si>
    <t>경북</t>
    <phoneticPr fontId="1" type="noConversion"/>
  </si>
  <si>
    <t>울릉군 독도</t>
    <phoneticPr fontId="12" type="noConversion"/>
  </si>
  <si>
    <t>포항시 경주시</t>
    <phoneticPr fontId="12" type="noConversion"/>
  </si>
  <si>
    <t>울산시</t>
    <phoneticPr fontId="12" type="noConversion"/>
  </si>
  <si>
    <t>울산광역시</t>
    <phoneticPr fontId="1" type="noConversion"/>
  </si>
  <si>
    <t>울주군</t>
    <phoneticPr fontId="12" type="noConversion"/>
  </si>
  <si>
    <t>영덕군</t>
    <phoneticPr fontId="12" type="noConversion"/>
  </si>
  <si>
    <t>울진군 영천시</t>
    <phoneticPr fontId="12" type="noConversion"/>
  </si>
  <si>
    <t>청송군 대구시 경산시 청도군</t>
    <phoneticPr fontId="12" type="noConversion"/>
  </si>
  <si>
    <t>영양군 군위군 칠곡군 성주군 달성군 고령군</t>
    <phoneticPr fontId="12" type="noConversion"/>
  </si>
  <si>
    <t>봉화군 영주시 예천군 문경시 상주시 추풍령 안동시 의성군 구미시 김천시</t>
    <phoneticPr fontId="12" type="noConversion"/>
  </si>
  <si>
    <t>경남</t>
    <phoneticPr fontId="12" type="noConversion"/>
  </si>
  <si>
    <t>부산시</t>
    <phoneticPr fontId="12" type="noConversion"/>
  </si>
  <si>
    <t>부산광역시</t>
    <phoneticPr fontId="12" type="noConversion"/>
  </si>
  <si>
    <t>기장군</t>
    <phoneticPr fontId="12" type="noConversion"/>
  </si>
  <si>
    <t>통영시 거제시</t>
    <phoneticPr fontId="12" type="noConversion"/>
  </si>
  <si>
    <t>양산시 김해시 남해군</t>
    <phoneticPr fontId="12" type="noConversion"/>
  </si>
  <si>
    <t>고성군</t>
    <phoneticPr fontId="12" type="noConversion"/>
  </si>
  <si>
    <t>창원시 사천시</t>
    <phoneticPr fontId="12" type="noConversion"/>
  </si>
  <si>
    <r>
      <t xml:space="preserve">z </t>
    </r>
    <r>
      <rPr>
        <b/>
        <sz val="10"/>
        <rFont val="한컴돋움"/>
        <family val="1"/>
        <charset val="129"/>
      </rPr>
      <t>≤</t>
    </r>
    <r>
      <rPr>
        <b/>
        <i/>
        <sz val="10"/>
        <rFont val="Times New Roman"/>
        <family val="1"/>
      </rPr>
      <t xml:space="preserve"> z</t>
    </r>
    <r>
      <rPr>
        <b/>
        <i/>
        <vertAlign val="subscript"/>
        <sz val="10"/>
        <rFont val="Times New Roman"/>
        <family val="1"/>
      </rPr>
      <t>b</t>
    </r>
    <phoneticPr fontId="1" type="noConversion"/>
  </si>
  <si>
    <r>
      <t>z</t>
    </r>
    <r>
      <rPr>
        <b/>
        <i/>
        <vertAlign val="subscript"/>
        <sz val="10"/>
        <rFont val="Times New Roman"/>
        <family val="1"/>
      </rPr>
      <t>b</t>
    </r>
    <r>
      <rPr>
        <b/>
        <sz val="10"/>
        <rFont val="Times New Roman"/>
        <family val="1"/>
      </rPr>
      <t>&lt;</t>
    </r>
    <r>
      <rPr>
        <b/>
        <i/>
        <sz val="10"/>
        <rFont val="Times New Roman"/>
        <family val="1"/>
      </rPr>
      <t xml:space="preserve"> z</t>
    </r>
    <r>
      <rPr>
        <b/>
        <sz val="10"/>
        <rFont val="한컴돋움"/>
        <family val="1"/>
        <charset val="129"/>
      </rPr>
      <t>≤</t>
    </r>
    <r>
      <rPr>
        <b/>
        <i/>
        <sz val="10"/>
        <rFont val="Times New Roman"/>
        <family val="1"/>
      </rPr>
      <t>Z</t>
    </r>
    <r>
      <rPr>
        <b/>
        <i/>
        <vertAlign val="subscript"/>
        <sz val="10"/>
        <rFont val="Times New Roman"/>
        <family val="1"/>
      </rPr>
      <t>g</t>
    </r>
    <phoneticPr fontId="1" type="noConversion"/>
  </si>
  <si>
    <t>밀양시 하동군</t>
    <phoneticPr fontId="12" type="noConversion"/>
  </si>
  <si>
    <t>지표면조도</t>
    <phoneticPr fontId="1" type="noConversion"/>
  </si>
  <si>
    <t>식</t>
    <phoneticPr fontId="1" type="noConversion"/>
  </si>
  <si>
    <r>
      <t>z</t>
    </r>
    <r>
      <rPr>
        <b/>
        <i/>
        <vertAlign val="subscript"/>
        <sz val="10"/>
        <rFont val="Times New Roman"/>
        <family val="1"/>
      </rPr>
      <t>b</t>
    </r>
    <phoneticPr fontId="1" type="noConversion"/>
  </si>
  <si>
    <r>
      <t>Z</t>
    </r>
    <r>
      <rPr>
        <b/>
        <i/>
        <vertAlign val="subscript"/>
        <sz val="10"/>
        <rFont val="Times New Roman"/>
        <family val="1"/>
      </rPr>
      <t>g</t>
    </r>
    <phoneticPr fontId="1" type="noConversion"/>
  </si>
  <si>
    <t>함안군 창녕군 진주시</t>
    <phoneticPr fontId="12" type="noConversion"/>
  </si>
  <si>
    <t>의령군 거창군 산청군 합천군 함양군</t>
    <phoneticPr fontId="12" type="noConversion"/>
  </si>
  <si>
    <r>
      <t>·  Z</t>
    </r>
    <r>
      <rPr>
        <b/>
        <i/>
        <vertAlign val="superscript"/>
        <sz val="11"/>
        <color indexed="8"/>
        <rFont val="Times New Roman"/>
        <family val="1"/>
      </rPr>
      <t>α</t>
    </r>
    <phoneticPr fontId="1" type="noConversion"/>
  </si>
  <si>
    <t>m (대기경계층 시작 높이)</t>
    <phoneticPr fontId="1" type="noConversion"/>
  </si>
  <si>
    <t>전북</t>
    <phoneticPr fontId="1" type="noConversion"/>
  </si>
  <si>
    <t>부안군 군산시</t>
    <phoneticPr fontId="12" type="noConversion"/>
  </si>
  <si>
    <t>m (기준경도풍 높이)</t>
    <phoneticPr fontId="1" type="noConversion"/>
  </si>
  <si>
    <t>익산시 김제시 고창군</t>
    <phoneticPr fontId="12" type="noConversion"/>
  </si>
  <si>
    <t>m (건축물 기준높이)</t>
    <phoneticPr fontId="1" type="noConversion"/>
  </si>
  <si>
    <t>완주군 전주시</t>
    <phoneticPr fontId="12" type="noConversion"/>
  </si>
  <si>
    <r>
      <t>V</t>
    </r>
    <r>
      <rPr>
        <b/>
        <i/>
        <vertAlign val="subscript"/>
        <sz val="9"/>
        <color indexed="8"/>
        <rFont val="Times New Roman"/>
        <family val="1"/>
      </rPr>
      <t>H</t>
    </r>
    <phoneticPr fontId="12" type="noConversion"/>
  </si>
  <si>
    <t xml:space="preserve">   (풍속의 고도분포지수)</t>
    <phoneticPr fontId="1" type="noConversion"/>
  </si>
  <si>
    <t>m</t>
    <phoneticPr fontId="1" type="noConversion"/>
  </si>
  <si>
    <t>무주군 진안군 장수군 임실군 정읍시 순창군 남원시</t>
    <phoneticPr fontId="12" type="noConversion"/>
  </si>
  <si>
    <r>
      <t xml:space="preserve">z </t>
    </r>
    <r>
      <rPr>
        <b/>
        <sz val="10"/>
        <color indexed="60"/>
        <rFont val="한컴돋움"/>
        <family val="1"/>
        <charset val="129"/>
      </rPr>
      <t>≤</t>
    </r>
    <r>
      <rPr>
        <b/>
        <i/>
        <sz val="10"/>
        <color indexed="60"/>
        <rFont val="Times New Roman"/>
        <family val="1"/>
      </rPr>
      <t xml:space="preserve"> z</t>
    </r>
    <r>
      <rPr>
        <b/>
        <i/>
        <vertAlign val="subscript"/>
        <sz val="10"/>
        <color indexed="60"/>
        <rFont val="Times New Roman"/>
        <family val="1"/>
      </rPr>
      <t>b</t>
    </r>
    <phoneticPr fontId="1" type="noConversion"/>
  </si>
  <si>
    <r>
      <rPr>
        <b/>
        <sz val="10"/>
        <color indexed="60"/>
        <rFont val="Times New Roman"/>
        <family val="1"/>
      </rPr>
      <t>(</t>
    </r>
    <r>
      <rPr>
        <b/>
        <i/>
        <sz val="10"/>
        <color indexed="60"/>
        <rFont val="Times New Roman"/>
        <family val="1"/>
      </rPr>
      <t xml:space="preserve"> z</t>
    </r>
    <r>
      <rPr>
        <b/>
        <i/>
        <vertAlign val="subscript"/>
        <sz val="10"/>
        <color indexed="60"/>
        <rFont val="Times New Roman"/>
        <family val="1"/>
      </rPr>
      <t xml:space="preserve">b </t>
    </r>
    <r>
      <rPr>
        <b/>
        <sz val="10"/>
        <color indexed="60"/>
        <rFont val="Times New Roman"/>
        <family val="1"/>
      </rPr>
      <t xml:space="preserve">/ </t>
    </r>
    <r>
      <rPr>
        <b/>
        <i/>
        <sz val="10"/>
        <color indexed="60"/>
        <rFont val="Times New Roman"/>
        <family val="1"/>
      </rPr>
      <t>H</t>
    </r>
    <r>
      <rPr>
        <b/>
        <sz val="10"/>
        <color indexed="60"/>
        <rFont val="Times New Roman"/>
        <family val="1"/>
      </rPr>
      <t xml:space="preserve"> )</t>
    </r>
    <r>
      <rPr>
        <b/>
        <vertAlign val="superscript"/>
        <sz val="10"/>
        <color indexed="60"/>
        <rFont val="Times New Roman"/>
        <family val="1"/>
      </rPr>
      <t>2α</t>
    </r>
    <phoneticPr fontId="1" type="noConversion"/>
  </si>
  <si>
    <t>전남</t>
    <phoneticPr fontId="1" type="noConversion"/>
  </si>
  <si>
    <t>완도군 해남군</t>
    <phoneticPr fontId="12" type="noConversion"/>
  </si>
  <si>
    <r>
      <t>z</t>
    </r>
    <r>
      <rPr>
        <b/>
        <i/>
        <vertAlign val="subscript"/>
        <sz val="10"/>
        <color indexed="60"/>
        <rFont val="Times New Roman"/>
        <family val="1"/>
      </rPr>
      <t xml:space="preserve">b </t>
    </r>
    <r>
      <rPr>
        <b/>
        <sz val="10"/>
        <color indexed="60"/>
        <rFont val="Times New Roman"/>
        <family val="1"/>
      </rPr>
      <t>&lt;</t>
    </r>
    <r>
      <rPr>
        <b/>
        <i/>
        <sz val="10"/>
        <color indexed="60"/>
        <rFont val="Times New Roman"/>
        <family val="1"/>
      </rPr>
      <t xml:space="preserve">  z &lt; 0.8H</t>
    </r>
    <phoneticPr fontId="1" type="noConversion"/>
  </si>
  <si>
    <r>
      <rPr>
        <b/>
        <sz val="10"/>
        <color indexed="60"/>
        <rFont val="Times New Roman"/>
        <family val="1"/>
      </rPr>
      <t>(</t>
    </r>
    <r>
      <rPr>
        <b/>
        <i/>
        <sz val="10"/>
        <color indexed="60"/>
        <rFont val="Times New Roman"/>
        <family val="1"/>
      </rPr>
      <t xml:space="preserve"> z</t>
    </r>
    <r>
      <rPr>
        <b/>
        <i/>
        <vertAlign val="subscript"/>
        <sz val="10"/>
        <color indexed="60"/>
        <rFont val="Times New Roman"/>
        <family val="1"/>
      </rPr>
      <t xml:space="preserve"> </t>
    </r>
    <r>
      <rPr>
        <b/>
        <sz val="10"/>
        <color indexed="60"/>
        <rFont val="Times New Roman"/>
        <family val="1"/>
      </rPr>
      <t xml:space="preserve">/ </t>
    </r>
    <r>
      <rPr>
        <b/>
        <i/>
        <sz val="10"/>
        <color indexed="60"/>
        <rFont val="Times New Roman"/>
        <family val="1"/>
      </rPr>
      <t>H</t>
    </r>
    <r>
      <rPr>
        <b/>
        <sz val="10"/>
        <color indexed="60"/>
        <rFont val="Times New Roman"/>
        <family val="1"/>
      </rPr>
      <t xml:space="preserve"> )</t>
    </r>
    <r>
      <rPr>
        <b/>
        <vertAlign val="superscript"/>
        <sz val="10"/>
        <color indexed="60"/>
        <rFont val="Times New Roman"/>
        <family val="1"/>
      </rPr>
      <t>2α</t>
    </r>
    <phoneticPr fontId="1" type="noConversion"/>
  </si>
  <si>
    <t>진도군 여수시 고흥군 신안군 무안군 장흥군</t>
    <phoneticPr fontId="12" type="noConversion"/>
  </si>
  <si>
    <r>
      <t xml:space="preserve"> z  </t>
    </r>
    <r>
      <rPr>
        <b/>
        <sz val="10"/>
        <color indexed="60"/>
        <rFont val="한컴돋움"/>
        <family val="1"/>
        <charset val="129"/>
      </rPr>
      <t>≥</t>
    </r>
    <r>
      <rPr>
        <b/>
        <i/>
        <sz val="10"/>
        <color indexed="60"/>
        <rFont val="Times New Roman"/>
        <family val="1"/>
      </rPr>
      <t xml:space="preserve"> 0.8H</t>
    </r>
    <phoneticPr fontId="1" type="noConversion"/>
  </si>
  <si>
    <r>
      <rPr>
        <b/>
        <sz val="10"/>
        <color indexed="60"/>
        <rFont val="Times New Roman"/>
        <family val="1"/>
      </rPr>
      <t xml:space="preserve">0.8 </t>
    </r>
    <r>
      <rPr>
        <b/>
        <vertAlign val="superscript"/>
        <sz val="10"/>
        <color indexed="60"/>
        <rFont val="Times New Roman"/>
        <family val="1"/>
      </rPr>
      <t>2α</t>
    </r>
    <phoneticPr fontId="1" type="noConversion"/>
  </si>
  <si>
    <t>목포시 영암군 강진군</t>
    <phoneticPr fontId="12" type="noConversion"/>
  </si>
  <si>
    <r>
      <rPr>
        <b/>
        <sz val="9"/>
        <rFont val="바탕"/>
        <family val="1"/>
        <charset val="129"/>
      </rPr>
      <t>←</t>
    </r>
    <r>
      <rPr>
        <b/>
        <i/>
        <sz val="9"/>
        <rFont val="Times New Roman"/>
        <family val="1"/>
      </rPr>
      <t xml:space="preserve">  k</t>
    </r>
    <r>
      <rPr>
        <b/>
        <i/>
        <vertAlign val="subscript"/>
        <sz val="9"/>
        <rFont val="Times New Roman"/>
        <family val="1"/>
      </rPr>
      <t>z</t>
    </r>
    <phoneticPr fontId="1" type="noConversion"/>
  </si>
  <si>
    <t>영광군 함평군 나주시</t>
    <phoneticPr fontId="12" type="noConversion"/>
  </si>
  <si>
    <t>순천시 광양시</t>
    <phoneticPr fontId="12" type="noConversion"/>
  </si>
  <si>
    <r>
      <t xml:space="preserve">보성군 장성군 </t>
    </r>
    <r>
      <rPr>
        <b/>
        <sz val="9"/>
        <color rgb="FFFFFF00"/>
        <rFont val="한컴돋움"/>
        <family val="1"/>
        <charset val="129"/>
      </rPr>
      <t xml:space="preserve">광주시 </t>
    </r>
    <phoneticPr fontId="12" type="noConversion"/>
  </si>
  <si>
    <r>
      <rPr>
        <b/>
        <i/>
        <sz val="9"/>
        <color indexed="8"/>
        <rFont val="Times New Roman"/>
        <family val="1"/>
      </rPr>
      <t>q</t>
    </r>
    <r>
      <rPr>
        <b/>
        <i/>
        <vertAlign val="subscript"/>
        <sz val="9"/>
        <color indexed="8"/>
        <rFont val="Times New Roman"/>
        <family val="1"/>
      </rPr>
      <t>H</t>
    </r>
    <phoneticPr fontId="12" type="noConversion"/>
  </si>
  <si>
    <r>
      <t>1 / 2 · ρ · V</t>
    </r>
    <r>
      <rPr>
        <b/>
        <i/>
        <vertAlign val="subscript"/>
        <sz val="9"/>
        <rFont val="Times New Roman"/>
        <family val="1"/>
      </rPr>
      <t>H</t>
    </r>
    <r>
      <rPr>
        <b/>
        <i/>
        <vertAlign val="superscript"/>
        <sz val="9"/>
        <rFont val="Times New Roman"/>
        <family val="1"/>
      </rPr>
      <t>2</t>
    </r>
    <phoneticPr fontId="1" type="noConversion"/>
  </si>
  <si>
    <t>담양군 곡성군 구례군 화순군</t>
    <phoneticPr fontId="12" type="noConversion"/>
  </si>
  <si>
    <t>· 지붕면 평균높이가 높이 20m 미만인 경우</t>
    <phoneticPr fontId="12" type="noConversion"/>
  </si>
  <si>
    <r>
      <t>k</t>
    </r>
    <r>
      <rPr>
        <b/>
        <i/>
        <vertAlign val="subscript"/>
        <sz val="9"/>
        <rFont val="Times New Roman"/>
        <family val="1"/>
      </rPr>
      <t>z</t>
    </r>
    <r>
      <rPr>
        <b/>
        <i/>
        <sz val="9"/>
        <rFont val="Times New Roman"/>
        <family val="1"/>
      </rPr>
      <t xml:space="preserve"> </t>
    </r>
    <phoneticPr fontId="1" type="noConversion"/>
  </si>
  <si>
    <r>
      <t xml:space="preserve">외장재 설계용 </t>
    </r>
    <r>
      <rPr>
        <b/>
        <i/>
        <sz val="9"/>
        <rFont val="Times New Roman"/>
        <family val="1"/>
      </rPr>
      <t>G·Cpe</t>
    </r>
    <r>
      <rPr>
        <b/>
        <sz val="9"/>
        <rFont val="한컴돋움"/>
        <family val="1"/>
        <charset val="129"/>
      </rPr>
      <t xml:space="preserve"> 산정 (벽)</t>
    </r>
    <phoneticPr fontId="1" type="noConversion"/>
  </si>
  <si>
    <t>높이 H ≥ 20m  : 정압 ④ , ⑤</t>
    <phoneticPr fontId="1" type="noConversion"/>
  </si>
  <si>
    <t>높이 H &lt; 20m  : 정압 ④ , ⑤</t>
    <phoneticPr fontId="1" type="noConversion"/>
  </si>
  <si>
    <r>
      <rPr>
        <b/>
        <i/>
        <sz val="9"/>
        <color indexed="8"/>
        <rFont val="Times New Roman"/>
        <family val="1"/>
      </rPr>
      <t>A</t>
    </r>
    <r>
      <rPr>
        <b/>
        <sz val="9"/>
        <color indexed="8"/>
        <rFont val="한컴돋움"/>
        <family val="1"/>
        <charset val="129"/>
      </rPr>
      <t xml:space="preserve">   =</t>
    </r>
    <phoneticPr fontId="1" type="noConversion"/>
  </si>
  <si>
    <r>
      <t>m</t>
    </r>
    <r>
      <rPr>
        <b/>
        <vertAlign val="superscript"/>
        <sz val="9"/>
        <rFont val="한컴돋움"/>
        <family val="1"/>
        <charset val="129"/>
      </rPr>
      <t>2</t>
    </r>
    <phoneticPr fontId="1" type="noConversion"/>
  </si>
  <si>
    <t>A ≤ 2</t>
    <phoneticPr fontId="1" type="noConversion"/>
  </si>
  <si>
    <t>A ≤ 1</t>
    <phoneticPr fontId="1" type="noConversion"/>
  </si>
  <si>
    <t>2&lt;A≤50</t>
    <phoneticPr fontId="1" type="noConversion"/>
  </si>
  <si>
    <t>A &gt; 50</t>
    <phoneticPr fontId="1" type="noConversion"/>
  </si>
  <si>
    <r>
      <t>k</t>
    </r>
    <r>
      <rPr>
        <b/>
        <i/>
        <vertAlign val="subscript"/>
        <sz val="9"/>
        <rFont val="Times New Roman"/>
        <family val="1"/>
      </rPr>
      <t>z</t>
    </r>
    <r>
      <rPr>
        <b/>
        <i/>
        <sz val="9"/>
        <rFont val="Times New Roman"/>
        <family val="1"/>
      </rPr>
      <t xml:space="preserve"> · q</t>
    </r>
    <r>
      <rPr>
        <b/>
        <i/>
        <vertAlign val="subscript"/>
        <sz val="9"/>
        <rFont val="Times New Roman"/>
        <family val="1"/>
      </rPr>
      <t xml:space="preserve">H </t>
    </r>
    <r>
      <rPr>
        <b/>
        <i/>
        <sz val="9"/>
        <rFont val="Times New Roman"/>
        <family val="1"/>
      </rPr>
      <t>· ( G · C</t>
    </r>
    <r>
      <rPr>
        <b/>
        <i/>
        <vertAlign val="subscript"/>
        <sz val="9"/>
        <rFont val="Times New Roman"/>
        <family val="1"/>
      </rPr>
      <t>pe</t>
    </r>
    <r>
      <rPr>
        <b/>
        <i/>
        <sz val="9"/>
        <rFont val="Times New Roman"/>
        <family val="1"/>
      </rPr>
      <t xml:space="preserve"> - G · C</t>
    </r>
    <r>
      <rPr>
        <b/>
        <i/>
        <vertAlign val="subscript"/>
        <sz val="9"/>
        <rFont val="Times New Roman"/>
        <family val="1"/>
      </rPr>
      <t xml:space="preserve">pi </t>
    </r>
    <r>
      <rPr>
        <b/>
        <i/>
        <sz val="9"/>
        <rFont val="Times New Roman"/>
        <family val="1"/>
      </rPr>
      <t>)</t>
    </r>
    <phoneticPr fontId="1" type="noConversion"/>
  </si>
  <si>
    <t>Used G·Cpe</t>
    <phoneticPr fontId="1" type="noConversion"/>
  </si>
  <si>
    <t>높이 H ≥ 20m  : 부압 ④</t>
    <phoneticPr fontId="1" type="noConversion"/>
  </si>
  <si>
    <t>높이 H &lt; 20m  : 부압 ④</t>
    <phoneticPr fontId="1" type="noConversion"/>
  </si>
  <si>
    <t>높이 H ≥ 20m  : 부압 ⑤</t>
    <phoneticPr fontId="1" type="noConversion"/>
  </si>
  <si>
    <t>높이 H &lt; 20m  : 부압 ⑤</t>
    <phoneticPr fontId="1" type="noConversion"/>
  </si>
  <si>
    <t>(정압)</t>
    <phoneticPr fontId="1" type="noConversion"/>
  </si>
  <si>
    <t xml:space="preserve"> (부압)</t>
    <phoneticPr fontId="1" type="noConversion"/>
  </si>
  <si>
    <t>(코너)</t>
    <phoneticPr fontId="1" type="noConversion"/>
  </si>
  <si>
    <t>kPa</t>
    <phoneticPr fontId="1" type="noConversion"/>
  </si>
  <si>
    <t>MPa</t>
    <phoneticPr fontId="1" type="noConversion"/>
  </si>
  <si>
    <t>mm</t>
    <phoneticPr fontId="1" type="noConversion"/>
  </si>
  <si>
    <t xml:space="preserve">kN.mm </t>
    <phoneticPr fontId="1" type="noConversion"/>
  </si>
  <si>
    <r>
      <t xml:space="preserve">↓ 자동변경부분 </t>
    </r>
    <r>
      <rPr>
        <b/>
        <sz val="9"/>
        <color rgb="FFC00000"/>
        <rFont val="한컴돋움"/>
        <family val="1"/>
        <charset val="129"/>
      </rPr>
      <t>( 건드리지 말것!!! )</t>
    </r>
    <phoneticPr fontId="1" type="noConversion"/>
  </si>
  <si>
    <t>t2</t>
    <phoneticPr fontId="38" type="noConversion"/>
  </si>
  <si>
    <t>t1</t>
    <phoneticPr fontId="1" type="noConversion"/>
  </si>
  <si>
    <t>h1</t>
    <phoneticPr fontId="1" type="noConversion"/>
  </si>
  <si>
    <t>h2</t>
    <phoneticPr fontId="1" type="noConversion"/>
  </si>
  <si>
    <t>b</t>
    <phoneticPr fontId="1" type="noConversion"/>
  </si>
  <si>
    <r>
      <t>t</t>
    </r>
    <r>
      <rPr>
        <b/>
        <i/>
        <vertAlign val="subscript"/>
        <sz val="9"/>
        <rFont val="Times New Roman"/>
        <family val="1"/>
      </rPr>
      <t>2</t>
    </r>
    <phoneticPr fontId="38" type="noConversion"/>
  </si>
  <si>
    <t>t3</t>
    <phoneticPr fontId="38" type="noConversion"/>
  </si>
  <si>
    <t xml:space="preserve">mm </t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</si>
  <si>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r>
      <rPr>
        <b/>
        <sz val="9"/>
        <rFont val="한컴돋움"/>
        <family val="1"/>
        <charset val="129"/>
      </rPr>
      <t xml:space="preserve"> </t>
    </r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</si>
  <si>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r>
      <rPr>
        <b/>
        <sz val="9"/>
        <rFont val="한컴돋움"/>
        <family val="1"/>
        <charset val="129"/>
      </rPr>
      <t xml:space="preserve"> </t>
    </r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</si>
  <si>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</si>
  <si>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r>
      <rPr>
        <b/>
        <sz val="9"/>
        <rFont val="한컴돋움"/>
        <family val="1"/>
        <charset val="129"/>
      </rPr>
      <t xml:space="preserve"> </t>
    </r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</si>
  <si>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r>
      <rPr>
        <b/>
        <sz val="9"/>
        <rFont val="한컴돋움"/>
        <family val="1"/>
        <charset val="129"/>
      </rPr>
      <t xml:space="preserve"> </t>
    </r>
    <phoneticPr fontId="1" type="noConversion"/>
  </si>
  <si>
    <r>
      <t>* INPUT DATA</t>
    </r>
    <r>
      <rPr>
        <b/>
        <sz val="8"/>
        <rFont val="한컴돋움"/>
        <family val="1"/>
        <charset val="129"/>
      </rPr>
      <t xml:space="preserve"> (빨간색 부분 직접 입력)</t>
    </r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</si>
  <si>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phoneticPr fontId="1" type="noConversion"/>
  </si>
  <si>
    <t>N</t>
    <phoneticPr fontId="1" type="noConversion"/>
  </si>
  <si>
    <t>N/mm</t>
    <phoneticPr fontId="1" type="noConversion"/>
  </si>
  <si>
    <t>mm</t>
    <phoneticPr fontId="1" type="noConversion"/>
  </si>
  <si>
    <t>mm</t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</si>
  <si>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</si>
  <si>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phoneticPr fontId="1" type="noConversion"/>
  </si>
  <si>
    <t>Mpa</t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</si>
  <si>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>MAX</t>
    </r>
    <phoneticPr fontId="1" type="noConversion"/>
  </si>
  <si>
    <r>
      <t>Δ</t>
    </r>
    <r>
      <rPr>
        <b/>
        <i/>
        <vertAlign val="subscript"/>
        <sz val="9"/>
        <rFont val="Times New Roman"/>
        <family val="1"/>
      </rPr>
      <t xml:space="preserve">ALL </t>
    </r>
    <phoneticPr fontId="1" type="noConversion"/>
  </si>
  <si>
    <t>(자동 1, 수동 2)</t>
    <phoneticPr fontId="1" type="noConversion"/>
  </si>
  <si>
    <r>
      <t>I</t>
    </r>
    <r>
      <rPr>
        <b/>
        <i/>
        <vertAlign val="subscript"/>
        <sz val="9"/>
        <rFont val="Times New Roman"/>
        <family val="1"/>
      </rPr>
      <t>X , Total</t>
    </r>
    <phoneticPr fontId="38" type="noConversion"/>
  </si>
  <si>
    <r>
      <t>I</t>
    </r>
    <r>
      <rPr>
        <b/>
        <i/>
        <vertAlign val="subscript"/>
        <sz val="9"/>
        <rFont val="Times New Roman"/>
        <family val="1"/>
      </rPr>
      <t>Y, Total</t>
    </r>
    <phoneticPr fontId="38" type="noConversion"/>
  </si>
  <si>
    <r>
      <t xml:space="preserve">ALUM.  </t>
    </r>
    <r>
      <rPr>
        <b/>
        <sz val="9"/>
        <rFont val="Times New Roman"/>
        <family val="1"/>
      </rPr>
      <t>:</t>
    </r>
    <phoneticPr fontId="38" type="noConversion"/>
  </si>
  <si>
    <r>
      <t xml:space="preserve">STEEL  </t>
    </r>
    <r>
      <rPr>
        <b/>
        <sz val="9"/>
        <rFont val="Times New Roman"/>
        <family val="1"/>
      </rPr>
      <t>:</t>
    </r>
    <phoneticPr fontId="38" type="noConversion"/>
  </si>
  <si>
    <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, Long </t>
    </r>
    <phoneticPr fontId="1" type="noConversion"/>
  </si>
  <si>
    <r>
      <t>L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, Short</t>
    </r>
    <phoneticPr fontId="1" type="noConversion"/>
  </si>
  <si>
    <r>
      <t>L</t>
    </r>
    <r>
      <rPr>
        <b/>
        <i/>
        <vertAlign val="subscript"/>
        <sz val="9"/>
        <rFont val="Times New Roman"/>
        <family val="1"/>
      </rPr>
      <t>3</t>
    </r>
    <r>
      <rPr>
        <b/>
        <i/>
        <sz val="9"/>
        <rFont val="Times New Roman"/>
        <family val="1"/>
      </rPr>
      <t xml:space="preserve"> , L</t>
    </r>
    <r>
      <rPr>
        <b/>
        <i/>
        <vertAlign val="subscript"/>
        <sz val="9"/>
        <rFont val="Times New Roman"/>
        <family val="1"/>
      </rPr>
      <t>b</t>
    </r>
    <phoneticPr fontId="1" type="noConversion"/>
  </si>
  <si>
    <r>
      <t>I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i/>
        <sz val="9"/>
        <rFont val="Times New Roman"/>
        <family val="1"/>
      </rPr>
      <t>( = I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i/>
        <sz val="9"/>
        <rFont val="Times New Roman"/>
        <family val="1"/>
      </rPr>
      <t>)</t>
    </r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</si>
  <si>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phoneticPr fontId="1" type="noConversion"/>
  </si>
  <si>
    <t>N</t>
    <phoneticPr fontId="1" type="noConversion"/>
  </si>
  <si>
    <t xml:space="preserve">mm </t>
    <phoneticPr fontId="1" type="noConversion"/>
  </si>
  <si>
    <t xml:space="preserve">N.mm </t>
    <phoneticPr fontId="1" type="noConversion"/>
  </si>
  <si>
    <t>N.mm</t>
    <phoneticPr fontId="1" type="noConversion"/>
  </si>
  <si>
    <t>mm</t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</si>
  <si>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r>
      <rPr>
        <b/>
        <sz val="9"/>
        <rFont val="한컴돋움"/>
        <family val="1"/>
        <charset val="129"/>
      </rPr>
      <t xml:space="preserve"> </t>
    </r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</si>
  <si>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r>
      <rPr>
        <b/>
        <sz val="9"/>
        <rFont val="한컴돋움"/>
        <family val="1"/>
        <charset val="129"/>
      </rPr>
      <t xml:space="preserve"> </t>
    </r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</si>
  <si>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phoneticPr fontId="7" type="noConversion"/>
  </si>
  <si>
    <t>MPa</t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</si>
  <si>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>2</t>
    </r>
    <phoneticPr fontId="1" type="noConversion"/>
  </si>
  <si>
    <r>
      <t>mm</t>
    </r>
    <r>
      <rPr>
        <b/>
        <vertAlign val="superscript"/>
        <sz val="9"/>
        <rFont val="한컴돋움"/>
        <family val="1"/>
        <charset val="129"/>
      </rPr>
      <t xml:space="preserve"> </t>
    </r>
    <phoneticPr fontId="1" type="noConversion"/>
  </si>
  <si>
    <r>
      <t xml:space="preserve">90,0000 /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 xml:space="preserve"> * H / A</t>
    </r>
    <r>
      <rPr>
        <b/>
        <i/>
        <vertAlign val="subscript"/>
        <sz val="9"/>
        <rFont val="Times New Roman"/>
        <family val="1"/>
      </rPr>
      <t>f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phoneticPr fontId="1" type="noConversion"/>
  </si>
  <si>
    <t>-. CHECK FOR VERTICAL STEEL MULLION</t>
    <phoneticPr fontId="1" type="noConversion"/>
  </si>
  <si>
    <r>
      <t>m</t>
    </r>
    <r>
      <rPr>
        <b/>
        <vertAlign val="superscript"/>
        <sz val="9"/>
        <color theme="1"/>
        <rFont val="한컴돋움"/>
        <family val="1"/>
        <charset val="129"/>
      </rPr>
      <t>2</t>
    </r>
    <phoneticPr fontId="1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</si>
  <si>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a + L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L * P</t>
    </r>
    <phoneticPr fontId="1" type="noConversion"/>
  </si>
  <si>
    <t>N.mm</t>
    <phoneticPr fontId="1" type="noConversion"/>
  </si>
  <si>
    <t xml:space="preserve">N.mm </t>
    <phoneticPr fontId="1" type="noConversion"/>
  </si>
  <si>
    <t>N/mm</t>
    <phoneticPr fontId="1" type="noConversion"/>
  </si>
  <si>
    <t xml:space="preserve">N.mm </t>
    <phoneticPr fontId="1" type="noConversion"/>
  </si>
  <si>
    <t xml:space="preserve">N.mm </t>
    <phoneticPr fontId="1" type="noConversion"/>
  </si>
  <si>
    <t>N.mm</t>
    <phoneticPr fontId="1" type="noConversion"/>
  </si>
  <si>
    <t>Pa</t>
    <phoneticPr fontId="1" type="noConversion"/>
  </si>
  <si>
    <r>
      <t>kgf/m</t>
    </r>
    <r>
      <rPr>
        <b/>
        <vertAlign val="superscript"/>
        <sz val="9"/>
        <color theme="1"/>
        <rFont val="한컴돋움"/>
        <family val="1"/>
        <charset val="129"/>
      </rPr>
      <t>2</t>
    </r>
    <phoneticPr fontId="1" type="noConversion"/>
  </si>
  <si>
    <r>
      <t>h</t>
    </r>
    <r>
      <rPr>
        <b/>
        <i/>
        <vertAlign val="subscript"/>
        <sz val="9"/>
        <rFont val="Times New Roman"/>
        <family val="1"/>
      </rPr>
      <t>2</t>
    </r>
    <phoneticPr fontId="38" type="noConversion"/>
  </si>
  <si>
    <r>
      <t>h</t>
    </r>
    <r>
      <rPr>
        <b/>
        <i/>
        <vertAlign val="subscript"/>
        <sz val="9"/>
        <rFont val="Times New Roman"/>
        <family val="1"/>
      </rPr>
      <t>2</t>
    </r>
    <phoneticPr fontId="38" type="noConversion"/>
  </si>
  <si>
    <t>C</t>
    <phoneticPr fontId="12" type="noConversion"/>
  </si>
  <si>
    <r>
      <t>0.85*M</t>
    </r>
    <r>
      <rPr>
        <b/>
        <i/>
        <vertAlign val="subscript"/>
        <sz val="9"/>
        <rFont val="Times New Roman"/>
        <family val="1"/>
      </rPr>
      <t>MAX</t>
    </r>
    <r>
      <rPr>
        <b/>
        <i/>
        <sz val="9"/>
        <rFont val="Times New Roman"/>
        <family val="1"/>
      </rPr>
      <t xml:space="preserve">  /  Z</t>
    </r>
    <r>
      <rPr>
        <b/>
        <i/>
        <vertAlign val="subscript"/>
        <sz val="9"/>
        <rFont val="Times New Roman"/>
        <family val="1"/>
      </rPr>
      <t>X</t>
    </r>
    <phoneticPr fontId="1" type="noConversion"/>
  </si>
  <si>
    <t>kPa</t>
    <phoneticPr fontId="12" type="noConversion"/>
  </si>
  <si>
    <t>Wind Pressure Design Condition</t>
    <phoneticPr fontId="12" type="noConversion"/>
  </si>
  <si>
    <t>(1) Input Data</t>
    <phoneticPr fontId="2" type="noConversion"/>
  </si>
  <si>
    <r>
      <t xml:space="preserve">기준 높이 ( </t>
    </r>
    <r>
      <rPr>
        <b/>
        <i/>
        <sz val="9"/>
        <color indexed="8"/>
        <rFont val="Times New Roman"/>
        <family val="1"/>
      </rPr>
      <t xml:space="preserve">Z </t>
    </r>
    <r>
      <rPr>
        <b/>
        <sz val="9"/>
        <color indexed="8"/>
        <rFont val="한컴돋움"/>
        <family val="1"/>
        <charset val="129"/>
      </rPr>
      <t>)</t>
    </r>
    <phoneticPr fontId="12" type="noConversion"/>
  </si>
  <si>
    <t>(2) Output Data</t>
    <phoneticPr fontId="2" type="noConversion"/>
  </si>
  <si>
    <t>ZONE</t>
    <phoneticPr fontId="1" type="noConversion"/>
  </si>
  <si>
    <r>
      <t>k</t>
    </r>
    <r>
      <rPr>
        <b/>
        <i/>
        <vertAlign val="subscript"/>
        <sz val="9"/>
        <color indexed="8"/>
        <rFont val="Times New Roman"/>
        <family val="1"/>
      </rPr>
      <t>z</t>
    </r>
    <r>
      <rPr>
        <b/>
        <i/>
        <sz val="9"/>
        <color indexed="8"/>
        <rFont val="Times New Roman"/>
        <family val="1"/>
      </rPr>
      <t xml:space="preserve"> </t>
    </r>
    <phoneticPr fontId="1" type="noConversion"/>
  </si>
  <si>
    <r>
      <t>P</t>
    </r>
    <r>
      <rPr>
        <b/>
        <i/>
        <vertAlign val="subscript"/>
        <sz val="9"/>
        <color theme="1"/>
        <rFont val="Times New Roman"/>
        <family val="1"/>
      </rPr>
      <t>C</t>
    </r>
    <r>
      <rPr>
        <b/>
        <i/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( kPa )</t>
    </r>
    <phoneticPr fontId="12" type="noConversion"/>
  </si>
  <si>
    <t>(+)</t>
    <phoneticPr fontId="1" type="noConversion"/>
  </si>
  <si>
    <t>(-)</t>
    <phoneticPr fontId="1" type="noConversion"/>
  </si>
  <si>
    <t>④ ZONE</t>
    <phoneticPr fontId="1" type="noConversion"/>
  </si>
  <si>
    <t>⑤ ZONE</t>
    <phoneticPr fontId="1" type="noConversion"/>
  </si>
  <si>
    <r>
      <t>P</t>
    </r>
    <r>
      <rPr>
        <b/>
        <i/>
        <vertAlign val="subscript"/>
        <sz val="9"/>
        <rFont val="Times New Roman"/>
        <family val="1"/>
      </rPr>
      <t>C +</t>
    </r>
    <phoneticPr fontId="1" type="noConversion"/>
  </si>
  <si>
    <r>
      <t>P</t>
    </r>
    <r>
      <rPr>
        <b/>
        <i/>
        <vertAlign val="subscript"/>
        <sz val="9"/>
        <rFont val="Times New Roman"/>
        <family val="1"/>
      </rPr>
      <t>C -</t>
    </r>
    <phoneticPr fontId="1" type="noConversion"/>
  </si>
  <si>
    <t>(3) Wind Load On Cladding</t>
    <phoneticPr fontId="2" type="noConversion"/>
  </si>
  <si>
    <r>
      <rPr>
        <b/>
        <i/>
        <sz val="8"/>
        <color theme="1"/>
        <rFont val="Times New Roman"/>
        <family val="1"/>
      </rPr>
      <t>a</t>
    </r>
    <r>
      <rPr>
        <b/>
        <sz val="8"/>
        <color theme="1"/>
        <rFont val="한컴돋움"/>
        <family val="1"/>
        <charset val="129"/>
      </rPr>
      <t xml:space="preserve"> : 건축물 최소폭의 0.1배, 단 1.0m보다 작아서는 안 된다.</t>
    </r>
    <phoneticPr fontId="12" type="noConversion"/>
  </si>
  <si>
    <r>
      <t xml:space="preserve">[ 벽면 피크외압계수 </t>
    </r>
    <r>
      <rPr>
        <b/>
        <i/>
        <sz val="9"/>
        <color theme="1"/>
        <rFont val="Times New Roman"/>
        <family val="1"/>
      </rPr>
      <t>G·C</t>
    </r>
    <r>
      <rPr>
        <b/>
        <i/>
        <vertAlign val="subscript"/>
        <sz val="9"/>
        <color theme="1"/>
        <rFont val="Times New Roman"/>
        <family val="1"/>
      </rPr>
      <t>pe</t>
    </r>
    <r>
      <rPr>
        <b/>
        <sz val="9"/>
        <color theme="1"/>
        <rFont val="한컴돋움"/>
        <family val="1"/>
        <charset val="129"/>
      </rPr>
      <t xml:space="preserve"> ]</t>
    </r>
    <phoneticPr fontId="1" type="noConversion"/>
  </si>
  <si>
    <r>
      <t xml:space="preserve">Design Wind Velocity ( </t>
    </r>
    <r>
      <rPr>
        <b/>
        <i/>
        <sz val="10"/>
        <color indexed="8"/>
        <rFont val="Times New Roman"/>
        <family val="1"/>
      </rPr>
      <t>V</t>
    </r>
    <r>
      <rPr>
        <b/>
        <i/>
        <vertAlign val="subscript"/>
        <sz val="10"/>
        <color indexed="8"/>
        <rFont val="Times New Roman"/>
        <family val="1"/>
      </rPr>
      <t>H</t>
    </r>
    <r>
      <rPr>
        <b/>
        <vertAlign val="subscript"/>
        <sz val="10"/>
        <color indexed="8"/>
        <rFont val="한컴돋움"/>
        <family val="1"/>
        <charset val="129"/>
      </rPr>
      <t xml:space="preserve"> </t>
    </r>
    <r>
      <rPr>
        <b/>
        <sz val="10"/>
        <color indexed="8"/>
        <rFont val="한컴돋움"/>
        <family val="1"/>
        <charset val="129"/>
      </rPr>
      <t>)</t>
    </r>
    <phoneticPr fontId="12" type="noConversion"/>
  </si>
  <si>
    <r>
      <t xml:space="preserve">Design Velocity Pressure ( </t>
    </r>
    <r>
      <rPr>
        <b/>
        <i/>
        <sz val="10"/>
        <color indexed="8"/>
        <rFont val="Times New Roman"/>
        <family val="1"/>
      </rPr>
      <t>q</t>
    </r>
    <r>
      <rPr>
        <b/>
        <i/>
        <vertAlign val="subscript"/>
        <sz val="10"/>
        <color indexed="8"/>
        <rFont val="Times New Roman"/>
        <family val="1"/>
      </rPr>
      <t>H</t>
    </r>
    <r>
      <rPr>
        <b/>
        <vertAlign val="subscript"/>
        <sz val="10"/>
        <color indexed="8"/>
        <rFont val="한컴돋움"/>
        <family val="1"/>
        <charset val="129"/>
      </rPr>
      <t xml:space="preserve"> </t>
    </r>
    <r>
      <rPr>
        <b/>
        <sz val="10"/>
        <color indexed="8"/>
        <rFont val="한컴돋움"/>
        <family val="1"/>
        <charset val="129"/>
      </rPr>
      <t>)</t>
    </r>
    <phoneticPr fontId="12" type="noConversion"/>
  </si>
  <si>
    <r>
      <t>N/m</t>
    </r>
    <r>
      <rPr>
        <b/>
        <vertAlign val="superscript"/>
        <sz val="9"/>
        <color indexed="8"/>
        <rFont val="한컴돋움"/>
        <family val="1"/>
        <charset val="129"/>
      </rPr>
      <t>2</t>
    </r>
    <phoneticPr fontId="12" type="noConversion"/>
  </si>
  <si>
    <t>Vertical Pressure Profile Coefficient</t>
    <phoneticPr fontId="12" type="noConversion"/>
  </si>
  <si>
    <t>Pressure (kPa)</t>
    <phoneticPr fontId="1" type="noConversion"/>
  </si>
  <si>
    <r>
      <t>P</t>
    </r>
    <r>
      <rPr>
        <b/>
        <i/>
        <vertAlign val="subscript"/>
        <sz val="9"/>
        <rFont val="Times New Roman"/>
        <family val="1"/>
      </rPr>
      <t xml:space="preserve">C </t>
    </r>
    <phoneticPr fontId="1" type="noConversion"/>
  </si>
  <si>
    <t>20m 이상</t>
    <phoneticPr fontId="1" type="noConversion"/>
  </si>
  <si>
    <t>20m 미만</t>
    <phoneticPr fontId="1" type="noConversion"/>
  </si>
  <si>
    <t>선택</t>
    <phoneticPr fontId="1" type="noConversion"/>
  </si>
  <si>
    <t>1) GENERAL</t>
    <phoneticPr fontId="1" type="noConversion"/>
  </si>
  <si>
    <t>( Module Width )</t>
    <phoneticPr fontId="1" type="noConversion"/>
  </si>
  <si>
    <t>( Module Height )</t>
    <phoneticPr fontId="1" type="noConversion"/>
  </si>
  <si>
    <t>W.L</t>
    <phoneticPr fontId="1" type="noConversion"/>
  </si>
  <si>
    <t>( Design Wind Load )</t>
    <phoneticPr fontId="1" type="noConversion"/>
  </si>
  <si>
    <t>Ratio</t>
    <phoneticPr fontId="2" type="noConversion"/>
  </si>
  <si>
    <t>(2) OUTPUT DATA</t>
  </si>
  <si>
    <r>
      <t>S</t>
    </r>
    <r>
      <rPr>
        <b/>
        <i/>
        <vertAlign val="subscript"/>
        <sz val="8"/>
        <rFont val="Times New Roman"/>
        <family val="1"/>
      </rPr>
      <t>Y</t>
    </r>
    <phoneticPr fontId="1" type="noConversion"/>
  </si>
  <si>
    <r>
      <t>S</t>
    </r>
    <r>
      <rPr>
        <b/>
        <i/>
        <vertAlign val="subscript"/>
        <sz val="8"/>
        <rFont val="Times New Roman"/>
        <family val="1"/>
      </rPr>
      <t>X</t>
    </r>
    <phoneticPr fontId="1" type="noConversion"/>
  </si>
  <si>
    <t>PULL - OUT Resistance</t>
  </si>
  <si>
    <t>Tensile Designed Resistance of Steel</t>
  </si>
  <si>
    <t>강재의 인장 설계 저항</t>
  </si>
  <si>
    <t>Designed Resistance of Con'c Edge</t>
  </si>
  <si>
    <t>콘크리트 모서리 설계 저항</t>
  </si>
  <si>
    <t>표준 설치 깊이에 대한 앵커 간격에 대한 영향</t>
  </si>
  <si>
    <t>표준 설치 깊이에 대한 모서리 거리에 대한 영향</t>
  </si>
  <si>
    <t>None Destructive Factor</t>
  </si>
  <si>
    <r>
      <t>E</t>
    </r>
    <r>
      <rPr>
        <b/>
        <i/>
        <vertAlign val="subscript"/>
        <sz val="8"/>
        <rFont val="Times New Roman"/>
        <family val="1"/>
      </rPr>
      <t>STEEL</t>
    </r>
    <phoneticPr fontId="1" type="noConversion"/>
  </si>
  <si>
    <t>( Modulus of Elasticity )</t>
    <phoneticPr fontId="1" type="noConversion"/>
  </si>
  <si>
    <r>
      <t>G</t>
    </r>
    <r>
      <rPr>
        <b/>
        <i/>
        <vertAlign val="subscript"/>
        <sz val="8"/>
        <rFont val="Times New Roman"/>
        <family val="1"/>
      </rPr>
      <t>THK.</t>
    </r>
    <phoneticPr fontId="1" type="noConversion"/>
  </si>
  <si>
    <t>mm PAIR GLASS</t>
    <phoneticPr fontId="1" type="noConversion"/>
  </si>
  <si>
    <t>( Glass Type )</t>
    <phoneticPr fontId="1" type="noConversion"/>
  </si>
  <si>
    <t>S.P.</t>
    <phoneticPr fontId="1" type="noConversion"/>
  </si>
  <si>
    <t>Point from End</t>
    <phoneticPr fontId="1" type="noConversion"/>
  </si>
  <si>
    <t>( Setting Block Location )</t>
    <phoneticPr fontId="1" type="noConversion"/>
  </si>
  <si>
    <r>
      <t>h</t>
    </r>
    <r>
      <rPr>
        <b/>
        <i/>
        <vertAlign val="subscript"/>
        <sz val="8"/>
        <rFont val="Times New Roman"/>
        <family val="1"/>
      </rPr>
      <t>1</t>
    </r>
    <phoneticPr fontId="1" type="noConversion"/>
  </si>
  <si>
    <r>
      <t>h</t>
    </r>
    <r>
      <rPr>
        <b/>
        <i/>
        <vertAlign val="subscript"/>
        <sz val="8"/>
        <rFont val="Times New Roman"/>
        <family val="1"/>
      </rPr>
      <t>2</t>
    </r>
    <phoneticPr fontId="1" type="noConversion"/>
  </si>
  <si>
    <r>
      <t>M</t>
    </r>
    <r>
      <rPr>
        <b/>
        <i/>
        <vertAlign val="subscript"/>
        <sz val="8"/>
        <rFont val="Times New Roman"/>
        <family val="1"/>
      </rPr>
      <t>D.L</t>
    </r>
    <phoneticPr fontId="1" type="noConversion"/>
  </si>
  <si>
    <t>(P.         )</t>
    <phoneticPr fontId="1" type="noConversion"/>
  </si>
  <si>
    <t>( Max. Bending Moment )</t>
    <phoneticPr fontId="1" type="noConversion"/>
  </si>
  <si>
    <r>
      <t>M</t>
    </r>
    <r>
      <rPr>
        <b/>
        <i/>
        <vertAlign val="subscript"/>
        <sz val="8"/>
        <rFont val="Times New Roman"/>
        <family val="1"/>
      </rPr>
      <t>W.L</t>
    </r>
    <phoneticPr fontId="1" type="noConversion"/>
  </si>
  <si>
    <r>
      <t>δ</t>
    </r>
    <r>
      <rPr>
        <b/>
        <i/>
        <vertAlign val="subscript"/>
        <sz val="8"/>
        <rFont val="Times New Roman"/>
        <family val="1"/>
      </rPr>
      <t>D.L</t>
    </r>
    <phoneticPr fontId="1" type="noConversion"/>
  </si>
  <si>
    <t>( Max. Deflection )</t>
    <phoneticPr fontId="1" type="noConversion"/>
  </si>
  <si>
    <r>
      <t>δ</t>
    </r>
    <r>
      <rPr>
        <b/>
        <i/>
        <vertAlign val="subscript"/>
        <sz val="8"/>
        <rFont val="Times New Roman"/>
        <family val="1"/>
      </rPr>
      <t>W.L</t>
    </r>
    <phoneticPr fontId="1" type="noConversion"/>
  </si>
  <si>
    <t>2) SECTION PROPERTY</t>
    <phoneticPr fontId="1" type="noConversion"/>
  </si>
  <si>
    <t>Symbol</t>
    <phoneticPr fontId="1" type="noConversion"/>
  </si>
  <si>
    <t>Unit</t>
    <phoneticPr fontId="1" type="noConversion"/>
  </si>
  <si>
    <t>Alum.</t>
    <phoneticPr fontId="1" type="noConversion"/>
  </si>
  <si>
    <t>WINDOW  TYPE</t>
    <phoneticPr fontId="1" type="noConversion"/>
  </si>
  <si>
    <r>
      <t>( mm</t>
    </r>
    <r>
      <rPr>
        <b/>
        <vertAlign val="superscript"/>
        <sz val="8"/>
        <rFont val="한컴돋움"/>
        <family val="1"/>
        <charset val="129"/>
      </rPr>
      <t>2</t>
    </r>
    <r>
      <rPr>
        <b/>
        <sz val="8"/>
        <rFont val="한컴돋움"/>
        <family val="1"/>
        <charset val="129"/>
      </rPr>
      <t xml:space="preserve"> )</t>
    </r>
    <phoneticPr fontId="1" type="noConversion"/>
  </si>
  <si>
    <t>FIX</t>
  </si>
  <si>
    <t>WINDOW</t>
    <phoneticPr fontId="1" type="noConversion"/>
  </si>
  <si>
    <r>
      <t>I</t>
    </r>
    <r>
      <rPr>
        <b/>
        <i/>
        <vertAlign val="subscript"/>
        <sz val="8"/>
        <rFont val="Times New Roman"/>
        <family val="1"/>
      </rPr>
      <t>X</t>
    </r>
    <phoneticPr fontId="1" type="noConversion"/>
  </si>
  <si>
    <r>
      <t>( mm</t>
    </r>
    <r>
      <rPr>
        <b/>
        <vertAlign val="superscript"/>
        <sz val="8"/>
        <rFont val="한컴돋움"/>
        <family val="1"/>
        <charset val="129"/>
      </rPr>
      <t>4</t>
    </r>
    <r>
      <rPr>
        <b/>
        <sz val="8"/>
        <rFont val="한컴돋움"/>
        <family val="1"/>
        <charset val="129"/>
      </rPr>
      <t xml:space="preserve"> )</t>
    </r>
    <phoneticPr fontId="1" type="noConversion"/>
  </si>
  <si>
    <r>
      <t>I</t>
    </r>
    <r>
      <rPr>
        <b/>
        <i/>
        <vertAlign val="subscript"/>
        <sz val="8"/>
        <rFont val="Times New Roman"/>
        <family val="1"/>
      </rPr>
      <t>Y</t>
    </r>
    <phoneticPr fontId="1" type="noConversion"/>
  </si>
  <si>
    <t>x</t>
    <phoneticPr fontId="1" type="noConversion"/>
  </si>
  <si>
    <t>( mm )</t>
    <phoneticPr fontId="1" type="noConversion"/>
  </si>
  <si>
    <t>( Distance from Neutral Axis )</t>
    <phoneticPr fontId="1" type="noConversion"/>
  </si>
  <si>
    <t>y</t>
    <phoneticPr fontId="1" type="noConversion"/>
  </si>
  <si>
    <r>
      <t>( mm</t>
    </r>
    <r>
      <rPr>
        <b/>
        <vertAlign val="superscript"/>
        <sz val="8"/>
        <rFont val="한컴돋움"/>
        <family val="1"/>
        <charset val="129"/>
      </rPr>
      <t>3</t>
    </r>
    <r>
      <rPr>
        <b/>
        <sz val="8"/>
        <rFont val="한컴돋움"/>
        <family val="1"/>
        <charset val="129"/>
      </rPr>
      <t xml:space="preserve"> )</t>
    </r>
    <phoneticPr fontId="1" type="noConversion"/>
  </si>
  <si>
    <t>( Elastic Section Modulus )</t>
    <phoneticPr fontId="1" type="noConversion"/>
  </si>
  <si>
    <t>Result ( MPa )</t>
    <phoneticPr fontId="1" type="noConversion"/>
  </si>
  <si>
    <t>Actual</t>
    <phoneticPr fontId="1" type="noConversion"/>
  </si>
  <si>
    <t>Allowable</t>
    <phoneticPr fontId="1" type="noConversion"/>
  </si>
  <si>
    <t>Ratio</t>
    <phoneticPr fontId="1" type="noConversion"/>
  </si>
  <si>
    <r>
      <t xml:space="preserve">Stress </t>
    </r>
    <r>
      <rPr>
        <b/>
        <i/>
        <sz val="8"/>
        <rFont val="Times New Roman"/>
        <family val="1"/>
      </rPr>
      <t>(σ)</t>
    </r>
    <phoneticPr fontId="1" type="noConversion"/>
  </si>
  <si>
    <t>D.L</t>
    <phoneticPr fontId="1" type="noConversion"/>
  </si>
  <si>
    <t>Comb.</t>
    <phoneticPr fontId="1" type="noConversion"/>
  </si>
  <si>
    <t>D.L  +  W.L</t>
    <phoneticPr fontId="1" type="noConversion"/>
  </si>
  <si>
    <t>허용처짐 (mm)</t>
    <phoneticPr fontId="1" type="noConversion"/>
  </si>
  <si>
    <r>
      <t>Deflection</t>
    </r>
    <r>
      <rPr>
        <b/>
        <vertAlign val="subscript"/>
        <sz val="8"/>
        <rFont val="한컴돋움"/>
        <family val="1"/>
        <charset val="129"/>
      </rPr>
      <t xml:space="preserve"> </t>
    </r>
    <r>
      <rPr>
        <b/>
        <i/>
        <sz val="8"/>
        <rFont val="Times New Roman"/>
        <family val="1"/>
      </rPr>
      <t>(δ)</t>
    </r>
    <phoneticPr fontId="1" type="noConversion"/>
  </si>
  <si>
    <t>OPEN</t>
    <phoneticPr fontId="1" type="noConversion"/>
  </si>
  <si>
    <t>FIX</t>
    <phoneticPr fontId="1" type="noConversion"/>
  </si>
  <si>
    <t>.</t>
    <phoneticPr fontId="1" type="noConversion"/>
  </si>
  <si>
    <t>3) FRAME ANALYSIS</t>
    <phoneticPr fontId="2" type="noConversion"/>
  </si>
  <si>
    <t xml:space="preserve">(1) FOR DEAD LOAD </t>
    <phoneticPr fontId="2" type="noConversion"/>
  </si>
  <si>
    <t>( GLASS )</t>
    <phoneticPr fontId="1" type="noConversion"/>
  </si>
  <si>
    <t>·  Simply Supported Beam W/ Two Equal Concentrated Forces @ Sym. Distance</t>
    <phoneticPr fontId="2" type="noConversion"/>
  </si>
  <si>
    <t xml:space="preserve">( STEEL. ) </t>
    <phoneticPr fontId="1" type="noConversion"/>
  </si>
  <si>
    <t>·  Simply Supported Beam W/ Uniformly Distributed Load</t>
    <phoneticPr fontId="2" type="noConversion"/>
  </si>
  <si>
    <t xml:space="preserve">          ( GLASS : Concentrared Forces )</t>
    <phoneticPr fontId="1" type="noConversion"/>
  </si>
  <si>
    <t>( STEEL. : Uniform Loads )</t>
    <phoneticPr fontId="1" type="noConversion"/>
  </si>
  <si>
    <t>-. INPUT DATA</t>
    <phoneticPr fontId="2" type="noConversion"/>
  </si>
  <si>
    <t>g  =</t>
    <phoneticPr fontId="1" type="noConversion"/>
  </si>
  <si>
    <t>GLASS   :</t>
    <phoneticPr fontId="1" type="noConversion"/>
  </si>
  <si>
    <t>ALUM.   :</t>
    <phoneticPr fontId="1" type="noConversion"/>
  </si>
  <si>
    <t>( GLASS WEIGHT )</t>
    <phoneticPr fontId="1" type="noConversion"/>
  </si>
  <si>
    <t>STEEL   :</t>
    <phoneticPr fontId="1" type="noConversion"/>
  </si>
  <si>
    <t>Weight</t>
    <phoneticPr fontId="1" type="noConversion"/>
  </si>
  <si>
    <t>AREA   :</t>
    <phoneticPr fontId="1" type="noConversion"/>
  </si>
  <si>
    <t>( STEEL. WEIGHT )</t>
    <phoneticPr fontId="1" type="noConversion"/>
  </si>
  <si>
    <t>WEIGHT   :</t>
    <phoneticPr fontId="1" type="noConversion"/>
  </si>
  <si>
    <t>Weight  /  L</t>
    <phoneticPr fontId="1" type="noConversion"/>
  </si>
  <si>
    <t>유리두께(t)</t>
    <phoneticPr fontId="1" type="noConversion"/>
  </si>
  <si>
    <t>순유리두께(mm)</t>
    <phoneticPr fontId="1" type="noConversion"/>
  </si>
  <si>
    <t>두께구성</t>
    <phoneticPr fontId="1" type="noConversion"/>
  </si>
  <si>
    <t>무게 (N/m²)</t>
    <phoneticPr fontId="1" type="noConversion"/>
  </si>
  <si>
    <t>(kgf/m²)</t>
    <phoneticPr fontId="1" type="noConversion"/>
  </si>
  <si>
    <t>-. FORMULARS TO CALCULATION  /  OUTPUT DATA</t>
  </si>
  <si>
    <t>3+6A+3</t>
    <phoneticPr fontId="1" type="noConversion"/>
  </si>
  <si>
    <t>5+6A+5</t>
    <phoneticPr fontId="1" type="noConversion"/>
  </si>
  <si>
    <t>5+12A+5</t>
    <phoneticPr fontId="1" type="noConversion"/>
  </si>
  <si>
    <t>6+12A+6</t>
    <phoneticPr fontId="1" type="noConversion"/>
  </si>
  <si>
    <t>8+12A+8</t>
    <phoneticPr fontId="1" type="noConversion"/>
  </si>
  <si>
    <t xml:space="preserve">(2) FOR WIND LOAD </t>
    <phoneticPr fontId="2" type="noConversion"/>
  </si>
  <si>
    <t>결 과   :</t>
    <phoneticPr fontId="1" type="noConversion"/>
  </si>
  <si>
    <t>( UPPER )</t>
    <phoneticPr fontId="1" type="noConversion"/>
  </si>
  <si>
    <t xml:space="preserve">( BOTTOM ) </t>
    <phoneticPr fontId="1" type="noConversion"/>
  </si>
  <si>
    <t>·  Simpley Supported Beam W/ Distributed Load Increasing Toward Center</t>
    <phoneticPr fontId="1" type="noConversion"/>
  </si>
  <si>
    <t>·  Simpley Supported Beam W/ Uniformly Distributed Load, Decreasing @ Both Eeds</t>
    <phoneticPr fontId="1" type="noConversion"/>
  </si>
  <si>
    <t>(1) FOR DEAD LOAD</t>
    <phoneticPr fontId="1" type="noConversion"/>
  </si>
  <si>
    <t>UNIT (N, kN)</t>
    <phoneticPr fontId="1" type="noConversion"/>
  </si>
  <si>
    <t>(2) FOR WIND LOAD</t>
    <phoneticPr fontId="1" type="noConversion"/>
  </si>
  <si>
    <t>&lt; AAMA MCWM-1-89 &gt;</t>
    <phoneticPr fontId="1" type="noConversion"/>
  </si>
  <si>
    <t>( 1 / 16" : Open Window )</t>
    <phoneticPr fontId="1" type="noConversion"/>
  </si>
  <si>
    <t>( 1 / 8" : Fix Window )</t>
    <phoneticPr fontId="1" type="noConversion"/>
  </si>
  <si>
    <t>삼각+사다리</t>
    <phoneticPr fontId="1" type="noConversion"/>
  </si>
  <si>
    <t>사다리+삼각</t>
    <phoneticPr fontId="1" type="noConversion"/>
  </si>
  <si>
    <t>사다리+사다리</t>
    <phoneticPr fontId="1" type="noConversion"/>
  </si>
  <si>
    <t>삼각+삼각</t>
    <phoneticPr fontId="1" type="noConversion"/>
  </si>
  <si>
    <t>OPEN</t>
  </si>
  <si>
    <t>B.5.4.2</t>
  </si>
  <si>
    <t>B.5.5.1</t>
  </si>
  <si>
    <t>(4) ALLOWABLE STRESS (SS275)</t>
  </si>
  <si>
    <r>
      <t>P</t>
    </r>
    <r>
      <rPr>
        <b/>
        <i/>
        <vertAlign val="subscript"/>
        <sz val="8"/>
        <rFont val="Times New Roman"/>
        <family val="1"/>
      </rPr>
      <t>1</t>
    </r>
  </si>
  <si>
    <t>=</t>
    <phoneticPr fontId="2" type="noConversion"/>
  </si>
  <si>
    <r>
      <t>e</t>
    </r>
    <r>
      <rPr>
        <b/>
        <i/>
        <vertAlign val="subscript"/>
        <sz val="8"/>
        <rFont val="Times New Roman"/>
        <family val="1"/>
      </rPr>
      <t>1</t>
    </r>
    <r>
      <rPr>
        <b/>
        <i/>
        <sz val="8"/>
        <rFont val="Times New Roman"/>
        <family val="1"/>
      </rPr>
      <t xml:space="preserve"> </t>
    </r>
  </si>
  <si>
    <r>
      <t>P</t>
    </r>
    <r>
      <rPr>
        <b/>
        <i/>
        <vertAlign val="subscript"/>
        <sz val="8"/>
        <rFont val="Times New Roman"/>
        <family val="1"/>
      </rPr>
      <t>2</t>
    </r>
  </si>
  <si>
    <r>
      <t>e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</t>
    </r>
  </si>
  <si>
    <r>
      <t>F</t>
    </r>
    <r>
      <rPr>
        <i/>
        <vertAlign val="subscript"/>
        <sz val="8"/>
        <rFont val="한컴돋움"/>
        <family val="1"/>
        <charset val="129"/>
      </rPr>
      <t>β,V</t>
    </r>
  </si>
  <si>
    <t>0 ~ 55°</t>
  </si>
  <si>
    <r>
      <t>h</t>
    </r>
    <r>
      <rPr>
        <b/>
        <i/>
        <vertAlign val="subscript"/>
        <sz val="8"/>
        <rFont val="Times New Roman"/>
        <family val="1"/>
      </rPr>
      <t>act</t>
    </r>
  </si>
  <si>
    <t>60°</t>
  </si>
  <si>
    <r>
      <t>h</t>
    </r>
    <r>
      <rPr>
        <b/>
        <i/>
        <vertAlign val="subscript"/>
        <sz val="8"/>
        <rFont val="Times New Roman"/>
        <family val="1"/>
      </rPr>
      <t>ef</t>
    </r>
  </si>
  <si>
    <t>70°</t>
  </si>
  <si>
    <r>
      <t>S</t>
    </r>
    <r>
      <rPr>
        <b/>
        <i/>
        <vertAlign val="subscript"/>
        <sz val="8"/>
        <rFont val="Times New Roman"/>
        <family val="1"/>
      </rPr>
      <t>act</t>
    </r>
  </si>
  <si>
    <t>80°</t>
  </si>
  <si>
    <r>
      <t>C</t>
    </r>
    <r>
      <rPr>
        <b/>
        <i/>
        <vertAlign val="subscript"/>
        <sz val="8"/>
        <rFont val="Times New Roman"/>
        <family val="1"/>
      </rPr>
      <t>act</t>
    </r>
  </si>
  <si>
    <t xml:space="preserve">mm </t>
    <phoneticPr fontId="2" type="noConversion"/>
  </si>
  <si>
    <t>90° ~ 180°</t>
  </si>
  <si>
    <r>
      <t>F</t>
    </r>
    <r>
      <rPr>
        <b/>
        <i/>
        <vertAlign val="subscript"/>
        <sz val="8"/>
        <rFont val="Times New Roman"/>
        <family val="1"/>
      </rPr>
      <t>ck</t>
    </r>
  </si>
  <si>
    <r>
      <t>N/mm</t>
    </r>
    <r>
      <rPr>
        <b/>
        <vertAlign val="superscript"/>
        <sz val="8"/>
        <rFont val="한컴돋움"/>
        <family val="1"/>
        <charset val="129"/>
      </rPr>
      <t>2</t>
    </r>
  </si>
  <si>
    <r>
      <t>d</t>
    </r>
    <r>
      <rPr>
        <b/>
        <i/>
        <vertAlign val="subscript"/>
        <sz val="8"/>
        <rFont val="Times New Roman"/>
        <family val="1"/>
      </rPr>
      <t>1</t>
    </r>
  </si>
  <si>
    <r>
      <t>d</t>
    </r>
    <r>
      <rPr>
        <b/>
        <i/>
        <vertAlign val="subscript"/>
        <sz val="8"/>
        <rFont val="Times New Roman"/>
        <family val="1"/>
      </rPr>
      <t>2</t>
    </r>
  </si>
  <si>
    <r>
      <t xml:space="preserve">(2) LOAD DATA </t>
    </r>
    <r>
      <rPr>
        <b/>
        <i/>
        <sz val="8"/>
        <rFont val="Times New Roman"/>
        <family val="1"/>
      </rPr>
      <t>( F</t>
    </r>
    <r>
      <rPr>
        <b/>
        <i/>
        <vertAlign val="subscript"/>
        <sz val="8"/>
        <rFont val="Times New Roman"/>
        <family val="1"/>
      </rPr>
      <t>sd</t>
    </r>
    <r>
      <rPr>
        <b/>
        <i/>
        <sz val="8"/>
        <rFont val="Times New Roman"/>
        <family val="1"/>
      </rPr>
      <t xml:space="preserve"> )</t>
    </r>
  </si>
  <si>
    <r>
      <t>N</t>
    </r>
    <r>
      <rPr>
        <b/>
        <i/>
        <vertAlign val="subscript"/>
        <sz val="8"/>
        <rFont val="Times New Roman"/>
        <family val="1"/>
      </rPr>
      <t>sd1</t>
    </r>
  </si>
  <si>
    <r>
      <t>F</t>
    </r>
    <r>
      <rPr>
        <b/>
        <i/>
        <vertAlign val="subscript"/>
        <sz val="8"/>
        <rFont val="Times New Roman"/>
        <family val="1"/>
      </rPr>
      <t>sd</t>
    </r>
  </si>
  <si>
    <r>
      <t>F</t>
    </r>
    <r>
      <rPr>
        <b/>
        <i/>
        <vertAlign val="subscript"/>
        <sz val="8"/>
        <rFont val="Times New Roman"/>
        <family val="1"/>
      </rPr>
      <t xml:space="preserve">Rd </t>
    </r>
    <r>
      <rPr>
        <b/>
        <i/>
        <sz val="8"/>
        <rFont val="Times New Roman"/>
        <family val="1"/>
      </rPr>
      <t>(α)</t>
    </r>
  </si>
  <si>
    <r>
      <t>N</t>
    </r>
    <r>
      <rPr>
        <b/>
        <i/>
        <vertAlign val="subscript"/>
        <sz val="8"/>
        <rFont val="Times New Roman"/>
        <family val="1"/>
      </rPr>
      <t>sd2</t>
    </r>
    <r>
      <rPr>
        <b/>
        <i/>
        <sz val="8"/>
        <rFont val="Times New Roman"/>
        <family val="1"/>
      </rPr>
      <t xml:space="preserve"> </t>
    </r>
  </si>
  <si>
    <r>
      <t>{ ( P</t>
    </r>
    <r>
      <rPr>
        <b/>
        <i/>
        <vertAlign val="subscript"/>
        <sz val="8"/>
        <rFont val="Times New Roman"/>
        <family val="1"/>
      </rPr>
      <t xml:space="preserve">2  </t>
    </r>
    <r>
      <rPr>
        <b/>
        <i/>
        <sz val="8"/>
        <rFont val="Times New Roman"/>
        <family val="1"/>
      </rPr>
      <t xml:space="preserve">/ n )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e</t>
    </r>
    <r>
      <rPr>
        <b/>
        <i/>
        <vertAlign val="subscript"/>
        <sz val="8"/>
        <rFont val="Times New Roman"/>
        <family val="1"/>
      </rPr>
      <t xml:space="preserve">2 </t>
    </r>
    <r>
      <rPr>
        <b/>
        <i/>
        <sz val="8"/>
        <rFont val="Times New Roman"/>
        <family val="1"/>
      </rPr>
      <t>} / ( 0.85*d</t>
    </r>
    <r>
      <rPr>
        <b/>
        <i/>
        <vertAlign val="subscript"/>
        <sz val="8"/>
        <rFont val="Times New Roman"/>
        <family val="1"/>
      </rPr>
      <t xml:space="preserve">2 </t>
    </r>
    <r>
      <rPr>
        <b/>
        <i/>
        <sz val="8"/>
        <rFont val="Times New Roman"/>
        <family val="1"/>
      </rPr>
      <t>)</t>
    </r>
  </si>
  <si>
    <r>
      <t>N</t>
    </r>
    <r>
      <rPr>
        <b/>
        <i/>
        <vertAlign val="subscript"/>
        <sz val="8"/>
        <rFont val="Times New Roman"/>
        <family val="1"/>
      </rPr>
      <t>sd</t>
    </r>
  </si>
  <si>
    <r>
      <t>N</t>
    </r>
    <r>
      <rPr>
        <b/>
        <i/>
        <vertAlign val="subscript"/>
        <sz val="8"/>
        <rFont val="Times New Roman"/>
        <family val="1"/>
      </rPr>
      <t>sd1</t>
    </r>
    <r>
      <rPr>
        <b/>
        <i/>
        <sz val="8"/>
        <rFont val="Times New Roman"/>
        <family val="1"/>
      </rPr>
      <t xml:space="preserve">      +</t>
    </r>
  </si>
  <si>
    <r>
      <t>N</t>
    </r>
    <r>
      <rPr>
        <b/>
        <i/>
        <vertAlign val="subscript"/>
        <sz val="8"/>
        <rFont val="Times New Roman"/>
        <family val="1"/>
      </rPr>
      <t>sd2</t>
    </r>
  </si>
  <si>
    <r>
      <t>V</t>
    </r>
    <r>
      <rPr>
        <b/>
        <i/>
        <vertAlign val="subscript"/>
        <sz val="8"/>
        <rFont val="Times New Roman"/>
        <family val="1"/>
      </rPr>
      <t>sd</t>
    </r>
  </si>
  <si>
    <r>
      <t>V</t>
    </r>
    <r>
      <rPr>
        <b/>
        <i/>
        <vertAlign val="subscript"/>
        <sz val="8"/>
        <rFont val="Times New Roman"/>
        <family val="1"/>
      </rPr>
      <t>sd</t>
    </r>
    <r>
      <rPr>
        <b/>
        <i/>
        <sz val="8"/>
        <rFont val="Times New Roman"/>
        <family val="1"/>
      </rPr>
      <t xml:space="preserve">  /  N</t>
    </r>
    <r>
      <rPr>
        <b/>
        <i/>
        <vertAlign val="subscript"/>
        <sz val="8"/>
        <rFont val="Times New Roman"/>
        <family val="1"/>
      </rPr>
      <t xml:space="preserve">sd </t>
    </r>
    <r>
      <rPr>
        <b/>
        <i/>
        <sz val="8"/>
        <rFont val="Times New Roman"/>
        <family val="1"/>
      </rPr>
      <t xml:space="preserve"> </t>
    </r>
  </si>
  <si>
    <r>
      <rPr>
        <b/>
        <i/>
        <sz val="8"/>
        <rFont val="한컴돋움"/>
        <family val="1"/>
        <charset val="129"/>
      </rPr>
      <t>∴</t>
    </r>
    <r>
      <rPr>
        <b/>
        <i/>
        <sz val="8"/>
        <rFont val="Times New Roman"/>
        <family val="1"/>
      </rPr>
      <t xml:space="preserve"> α</t>
    </r>
  </si>
  <si>
    <r>
      <rPr>
        <b/>
        <sz val="8"/>
        <rFont val="한컴돋움"/>
        <family val="1"/>
        <charset val="129"/>
      </rPr>
      <t>√</t>
    </r>
    <r>
      <rPr>
        <b/>
        <i/>
        <sz val="8"/>
        <rFont val="Times New Roman"/>
        <family val="1"/>
      </rPr>
      <t>( N</t>
    </r>
    <r>
      <rPr>
        <b/>
        <i/>
        <vertAlign val="subscript"/>
        <sz val="8"/>
        <rFont val="Times New Roman"/>
        <family val="1"/>
      </rPr>
      <t xml:space="preserve">sd </t>
    </r>
    <r>
      <rPr>
        <b/>
        <i/>
        <sz val="8"/>
        <rFont val="Times New Roman"/>
        <family val="1"/>
      </rPr>
      <t>)</t>
    </r>
    <r>
      <rPr>
        <b/>
        <i/>
        <vertAlign val="super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+  ( f</t>
    </r>
    <r>
      <rPr>
        <b/>
        <i/>
        <vertAlign val="subscript"/>
        <sz val="8"/>
        <rFont val="Times New Roman"/>
        <family val="1"/>
      </rPr>
      <t xml:space="preserve">s </t>
    </r>
    <r>
      <rPr>
        <b/>
        <i/>
        <sz val="8"/>
        <rFont val="Times New Roman"/>
        <family val="1"/>
      </rPr>
      <t>)</t>
    </r>
    <r>
      <rPr>
        <b/>
        <i/>
        <vertAlign val="superscript"/>
        <sz val="8"/>
        <rFont val="Times New Roman"/>
        <family val="1"/>
      </rPr>
      <t>2</t>
    </r>
  </si>
  <si>
    <r>
      <t xml:space="preserve"> h</t>
    </r>
    <r>
      <rPr>
        <b/>
        <i/>
        <vertAlign val="subscript"/>
        <sz val="8"/>
        <rFont val="한컴돋움"/>
        <family val="1"/>
        <charset val="129"/>
      </rPr>
      <t>ef</t>
    </r>
    <r>
      <rPr>
        <b/>
        <i/>
        <sz val="8"/>
        <rFont val="한컴돋움"/>
        <family val="1"/>
        <charset val="129"/>
      </rPr>
      <t xml:space="preserve"> </t>
    </r>
  </si>
  <si>
    <r>
      <t xml:space="preserve"> S</t>
    </r>
    <r>
      <rPr>
        <b/>
        <i/>
        <vertAlign val="subscript"/>
        <sz val="8"/>
        <rFont val="한컴돋움"/>
        <family val="1"/>
        <charset val="129"/>
      </rPr>
      <t xml:space="preserve">min </t>
    </r>
  </si>
  <si>
    <r>
      <t>N</t>
    </r>
    <r>
      <rPr>
        <b/>
        <i/>
        <vertAlign val="subscript"/>
        <sz val="8"/>
        <rFont val="Times New Roman"/>
        <family val="1"/>
      </rPr>
      <t>Rd</t>
    </r>
    <r>
      <rPr>
        <b/>
        <i/>
        <sz val="8"/>
        <rFont val="Times New Roman"/>
        <family val="1"/>
      </rPr>
      <t xml:space="preserve">  =  min</t>
    </r>
    <r>
      <rPr>
        <b/>
        <sz val="8"/>
        <rFont val="한컴돋움"/>
        <family val="1"/>
        <charset val="129"/>
      </rPr>
      <t>［</t>
    </r>
    <r>
      <rPr>
        <b/>
        <sz val="8"/>
        <rFont val="Times New Roman"/>
        <family val="1"/>
      </rPr>
      <t xml:space="preserve"> </t>
    </r>
    <r>
      <rPr>
        <b/>
        <i/>
        <sz val="8"/>
        <rFont val="Times New Roman"/>
        <family val="1"/>
      </rPr>
      <t>N</t>
    </r>
    <r>
      <rPr>
        <b/>
        <i/>
        <vertAlign val="subscript"/>
        <sz val="8"/>
        <rFont val="Times New Roman"/>
        <family val="1"/>
      </rPr>
      <t>b,Rd</t>
    </r>
    <r>
      <rPr>
        <b/>
        <sz val="8"/>
        <rFont val="Times New Roman"/>
        <family val="1"/>
      </rPr>
      <t xml:space="preserve">  ;  </t>
    </r>
    <r>
      <rPr>
        <b/>
        <i/>
        <sz val="8"/>
        <rFont val="Times New Roman"/>
        <family val="1"/>
      </rPr>
      <t>N</t>
    </r>
    <r>
      <rPr>
        <b/>
        <i/>
        <vertAlign val="subscript"/>
        <sz val="8"/>
        <rFont val="Times New Roman"/>
        <family val="1"/>
      </rPr>
      <t>s,Rd</t>
    </r>
    <r>
      <rPr>
        <b/>
        <sz val="8"/>
        <rFont val="Times New Roman"/>
        <family val="1"/>
      </rPr>
      <t xml:space="preserve"> </t>
    </r>
    <r>
      <rPr>
        <b/>
        <sz val="8"/>
        <rFont val="한컴돋움"/>
        <family val="1"/>
        <charset val="129"/>
      </rPr>
      <t>］</t>
    </r>
  </si>
  <si>
    <r>
      <t xml:space="preserve"> C</t>
    </r>
    <r>
      <rPr>
        <b/>
        <i/>
        <vertAlign val="subscript"/>
        <sz val="8"/>
        <rFont val="한컴돋움"/>
        <family val="1"/>
        <charset val="129"/>
      </rPr>
      <t>min</t>
    </r>
    <r>
      <rPr>
        <b/>
        <i/>
        <sz val="8"/>
        <rFont val="한컴돋움"/>
        <family val="1"/>
        <charset val="129"/>
      </rPr>
      <t xml:space="preserve"> </t>
    </r>
  </si>
  <si>
    <r>
      <t xml:space="preserve"> S</t>
    </r>
    <r>
      <rPr>
        <b/>
        <i/>
        <vertAlign val="subscript"/>
        <sz val="8"/>
        <rFont val="한컴돋움"/>
        <family val="1"/>
        <charset val="129"/>
      </rPr>
      <t xml:space="preserve">max </t>
    </r>
  </si>
  <si>
    <r>
      <t>N</t>
    </r>
    <r>
      <rPr>
        <b/>
        <i/>
        <vertAlign val="subscript"/>
        <sz val="8"/>
        <rFont val="Times New Roman"/>
        <family val="1"/>
      </rPr>
      <t>b,Rd</t>
    </r>
    <r>
      <rPr>
        <b/>
        <i/>
        <sz val="8"/>
        <rFont val="Times New Roman"/>
        <family val="1"/>
      </rPr>
      <t xml:space="preserve"> </t>
    </r>
  </si>
  <si>
    <r>
      <t xml:space="preserve"> C</t>
    </r>
    <r>
      <rPr>
        <b/>
        <i/>
        <vertAlign val="subscript"/>
        <sz val="8"/>
        <rFont val="한컴돋움"/>
        <family val="1"/>
        <charset val="129"/>
      </rPr>
      <t>max</t>
    </r>
    <r>
      <rPr>
        <b/>
        <i/>
        <sz val="8"/>
        <rFont val="한컴돋움"/>
        <family val="1"/>
        <charset val="129"/>
      </rPr>
      <t xml:space="preserve"> </t>
    </r>
  </si>
  <si>
    <r>
      <t>N</t>
    </r>
    <r>
      <rPr>
        <b/>
        <i/>
        <vertAlign val="superscript"/>
        <sz val="8"/>
        <rFont val="Times New Roman"/>
        <family val="1"/>
      </rPr>
      <t>O</t>
    </r>
    <r>
      <rPr>
        <b/>
        <i/>
        <vertAlign val="subscript"/>
        <sz val="8"/>
        <rFont val="Times New Roman"/>
        <family val="1"/>
      </rPr>
      <t xml:space="preserve">b,Rd </t>
    </r>
    <r>
      <rPr>
        <b/>
        <i/>
        <sz val="8"/>
        <rFont val="Times New Roman"/>
        <family val="1"/>
      </rPr>
      <t xml:space="preserve">    </t>
    </r>
  </si>
  <si>
    <r>
      <t>C</t>
    </r>
    <r>
      <rPr>
        <b/>
        <i/>
        <vertAlign val="subscript"/>
        <sz val="8"/>
        <rFont val="Times New Roman"/>
        <family val="1"/>
      </rPr>
      <t xml:space="preserve">S     </t>
    </r>
  </si>
  <si>
    <r>
      <t>A</t>
    </r>
    <r>
      <rPr>
        <b/>
        <i/>
        <vertAlign val="subscript"/>
        <sz val="8"/>
        <rFont val="Times New Roman"/>
        <family val="1"/>
      </rPr>
      <t xml:space="preserve">n </t>
    </r>
    <r>
      <rPr>
        <b/>
        <i/>
        <sz val="8"/>
        <rFont val="Times New Roman"/>
        <family val="1"/>
      </rPr>
      <t>/ A</t>
    </r>
    <r>
      <rPr>
        <b/>
        <i/>
        <vertAlign val="subscript"/>
        <sz val="8"/>
        <rFont val="Times New Roman"/>
        <family val="1"/>
      </rPr>
      <t>no</t>
    </r>
  </si>
  <si>
    <r>
      <t>N</t>
    </r>
    <r>
      <rPr>
        <b/>
        <i/>
        <vertAlign val="superscript"/>
        <sz val="8"/>
        <rFont val="한컴돋움"/>
        <family val="1"/>
        <charset val="129"/>
      </rPr>
      <t>O</t>
    </r>
    <r>
      <rPr>
        <b/>
        <i/>
        <vertAlign val="subscript"/>
        <sz val="8"/>
        <rFont val="한컴돋움"/>
        <family val="1"/>
        <charset val="129"/>
      </rPr>
      <t xml:space="preserve">b,Rd </t>
    </r>
    <r>
      <rPr>
        <b/>
        <i/>
        <sz val="8"/>
        <rFont val="한컴돋움"/>
        <family val="1"/>
        <charset val="129"/>
      </rPr>
      <t xml:space="preserve">    </t>
    </r>
  </si>
  <si>
    <r>
      <t>Ψ</t>
    </r>
    <r>
      <rPr>
        <b/>
        <i/>
        <vertAlign val="subscript"/>
        <sz val="8"/>
        <rFont val="Times New Roman"/>
        <family val="1"/>
      </rPr>
      <t xml:space="preserve">2 </t>
    </r>
  </si>
  <si>
    <r>
      <t>N</t>
    </r>
    <r>
      <rPr>
        <b/>
        <i/>
        <vertAlign val="subscript"/>
        <sz val="8"/>
        <rFont val="한컴돋움"/>
        <family val="1"/>
        <charset val="129"/>
      </rPr>
      <t>b,Rd</t>
    </r>
  </si>
  <si>
    <r>
      <t>N</t>
    </r>
    <r>
      <rPr>
        <b/>
        <i/>
        <vertAlign val="subscript"/>
        <sz val="8"/>
        <rFont val="한컴돋움"/>
        <family val="1"/>
        <charset val="129"/>
      </rPr>
      <t>S,Rd</t>
    </r>
  </si>
  <si>
    <r>
      <t>N</t>
    </r>
    <r>
      <rPr>
        <b/>
        <i/>
        <vertAlign val="subscript"/>
        <sz val="8"/>
        <rFont val="Times New Roman"/>
        <family val="1"/>
      </rPr>
      <t>b,Rd</t>
    </r>
  </si>
  <si>
    <r>
      <t>N</t>
    </r>
    <r>
      <rPr>
        <b/>
        <i/>
        <vertAlign val="superscript"/>
        <sz val="8"/>
        <rFont val="Times New Roman"/>
        <family val="1"/>
      </rPr>
      <t>O</t>
    </r>
    <r>
      <rPr>
        <b/>
        <i/>
        <vertAlign val="subscript"/>
        <sz val="8"/>
        <rFont val="Times New Roman"/>
        <family val="1"/>
      </rPr>
      <t xml:space="preserve">b,Rd 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 Cs 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 A</t>
    </r>
    <r>
      <rPr>
        <b/>
        <i/>
        <vertAlign val="subscript"/>
        <sz val="8"/>
        <rFont val="Times New Roman"/>
        <family val="1"/>
      </rPr>
      <t>n</t>
    </r>
    <r>
      <rPr>
        <b/>
        <i/>
        <sz val="8"/>
        <rFont val="Times New Roman"/>
        <family val="1"/>
      </rPr>
      <t xml:space="preserve"> / A</t>
    </r>
    <r>
      <rPr>
        <b/>
        <i/>
        <vertAlign val="subscript"/>
        <sz val="8"/>
        <rFont val="Times New Roman"/>
        <family val="1"/>
      </rPr>
      <t xml:space="preserve">no 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 Ψ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</t>
    </r>
  </si>
  <si>
    <r>
      <t>N</t>
    </r>
    <r>
      <rPr>
        <b/>
        <i/>
        <vertAlign val="superscript"/>
        <sz val="8"/>
        <rFont val="한컴돋움"/>
        <family val="1"/>
        <charset val="129"/>
      </rPr>
      <t>group</t>
    </r>
    <r>
      <rPr>
        <b/>
        <i/>
        <vertAlign val="subscript"/>
        <sz val="8"/>
        <rFont val="한컴돋움"/>
        <family val="1"/>
        <charset val="129"/>
      </rPr>
      <t>Lrec</t>
    </r>
  </si>
  <si>
    <r>
      <t>N</t>
    </r>
    <r>
      <rPr>
        <b/>
        <i/>
        <vertAlign val="subscript"/>
        <sz val="8"/>
        <rFont val="Times New Roman"/>
        <family val="1"/>
      </rPr>
      <t>S,Rd</t>
    </r>
  </si>
  <si>
    <r>
      <t>V</t>
    </r>
    <r>
      <rPr>
        <b/>
        <i/>
        <vertAlign val="superscript"/>
        <sz val="8"/>
        <rFont val="한컴돋움"/>
        <family val="1"/>
        <charset val="129"/>
      </rPr>
      <t>O</t>
    </r>
    <r>
      <rPr>
        <b/>
        <i/>
        <vertAlign val="subscript"/>
        <sz val="8"/>
        <rFont val="한컴돋움"/>
        <family val="1"/>
        <charset val="129"/>
      </rPr>
      <t>b,Rd</t>
    </r>
  </si>
  <si>
    <r>
      <t>V</t>
    </r>
    <r>
      <rPr>
        <b/>
        <vertAlign val="subscript"/>
        <sz val="8"/>
        <rFont val="한컴돋움"/>
        <family val="1"/>
        <charset val="129"/>
      </rPr>
      <t>b,Rd</t>
    </r>
    <r>
      <rPr>
        <b/>
        <sz val="8"/>
        <rFont val="한컴돋움"/>
        <family val="1"/>
        <charset val="129"/>
      </rPr>
      <t xml:space="preserve"> </t>
    </r>
  </si>
  <si>
    <r>
      <t xml:space="preserve"> N</t>
    </r>
    <r>
      <rPr>
        <b/>
        <i/>
        <vertAlign val="subscript"/>
        <sz val="8"/>
        <rFont val="Times New Roman"/>
        <family val="1"/>
      </rPr>
      <t>S,Rd</t>
    </r>
  </si>
  <si>
    <r>
      <t>V</t>
    </r>
    <r>
      <rPr>
        <b/>
        <i/>
        <vertAlign val="subscript"/>
        <sz val="8"/>
        <rFont val="한컴돋움"/>
        <family val="1"/>
        <charset val="129"/>
      </rPr>
      <t>Rd,S</t>
    </r>
    <r>
      <rPr>
        <b/>
        <i/>
        <sz val="8"/>
        <rFont val="한컴돋움"/>
        <family val="1"/>
        <charset val="129"/>
      </rPr>
      <t xml:space="preserve"> </t>
    </r>
  </si>
  <si>
    <r>
      <t>V</t>
    </r>
    <r>
      <rPr>
        <b/>
        <i/>
        <vertAlign val="superscript"/>
        <sz val="8"/>
        <rFont val="한컴돋움"/>
        <family val="1"/>
        <charset val="129"/>
      </rPr>
      <t>group</t>
    </r>
    <r>
      <rPr>
        <b/>
        <i/>
        <vertAlign val="subscript"/>
        <sz val="8"/>
        <rFont val="한컴돋움"/>
        <family val="1"/>
        <charset val="129"/>
      </rPr>
      <t>Lrec</t>
    </r>
  </si>
  <si>
    <r>
      <t>N</t>
    </r>
    <r>
      <rPr>
        <b/>
        <i/>
        <vertAlign val="superscript"/>
        <sz val="8"/>
        <rFont val="Times New Roman"/>
        <family val="1"/>
      </rPr>
      <t>group</t>
    </r>
    <r>
      <rPr>
        <b/>
        <i/>
        <vertAlign val="subscript"/>
        <sz val="8"/>
        <rFont val="Times New Roman"/>
        <family val="1"/>
      </rPr>
      <t>Lrec</t>
    </r>
  </si>
  <si>
    <r>
      <t>C</t>
    </r>
    <r>
      <rPr>
        <b/>
        <i/>
        <vertAlign val="subscript"/>
        <sz val="8"/>
        <rFont val="Times New Roman"/>
        <family val="1"/>
      </rPr>
      <t xml:space="preserve">S </t>
    </r>
    <r>
      <rPr>
        <b/>
        <i/>
        <sz val="8"/>
        <rFont val="Times New Roman"/>
        <family val="1"/>
      </rPr>
      <t>/ f</t>
    </r>
    <r>
      <rPr>
        <b/>
        <i/>
        <vertAlign val="subscript"/>
        <sz val="8"/>
        <rFont val="Times New Roman"/>
        <family val="1"/>
      </rPr>
      <t>S</t>
    </r>
  </si>
  <si>
    <r>
      <t>Ψ</t>
    </r>
    <r>
      <rPr>
        <b/>
        <i/>
        <vertAlign val="subscript"/>
        <sz val="8"/>
        <rFont val="Times New Roman"/>
        <family val="1"/>
      </rPr>
      <t xml:space="preserve">a,v </t>
    </r>
  </si>
  <si>
    <r>
      <t>F</t>
    </r>
    <r>
      <rPr>
        <i/>
        <vertAlign val="subscript"/>
        <sz val="8"/>
        <rFont val="Times New Roman"/>
        <family val="1"/>
      </rPr>
      <t>β,V</t>
    </r>
  </si>
  <si>
    <r>
      <t>V</t>
    </r>
    <r>
      <rPr>
        <b/>
        <i/>
        <vertAlign val="subscript"/>
        <sz val="8"/>
        <rFont val="Times New Roman"/>
        <family val="1"/>
      </rPr>
      <t>Rd</t>
    </r>
    <r>
      <rPr>
        <b/>
        <i/>
        <sz val="8"/>
        <rFont val="Times New Roman"/>
        <family val="1"/>
      </rPr>
      <t xml:space="preserve">  =  min</t>
    </r>
    <r>
      <rPr>
        <b/>
        <sz val="8"/>
        <rFont val="한컴돋움"/>
        <family val="1"/>
        <charset val="129"/>
      </rPr>
      <t>［</t>
    </r>
    <r>
      <rPr>
        <b/>
        <i/>
        <sz val="8"/>
        <rFont val="Times New Roman"/>
        <family val="1"/>
      </rPr>
      <t xml:space="preserve"> V</t>
    </r>
    <r>
      <rPr>
        <b/>
        <i/>
        <vertAlign val="subscript"/>
        <sz val="8"/>
        <rFont val="Times New Roman"/>
        <family val="1"/>
      </rPr>
      <t>b,Rd</t>
    </r>
    <r>
      <rPr>
        <b/>
        <sz val="8"/>
        <rFont val="Times New Roman"/>
        <family val="1"/>
      </rPr>
      <t xml:space="preserve">  ;  </t>
    </r>
    <r>
      <rPr>
        <b/>
        <i/>
        <sz val="8"/>
        <rFont val="Times New Roman"/>
        <family val="1"/>
      </rPr>
      <t>V</t>
    </r>
    <r>
      <rPr>
        <b/>
        <i/>
        <vertAlign val="subscript"/>
        <sz val="8"/>
        <rFont val="Times New Roman"/>
        <family val="1"/>
      </rPr>
      <t>s,Rd</t>
    </r>
    <r>
      <rPr>
        <b/>
        <sz val="8"/>
        <rFont val="Times New Roman"/>
        <family val="1"/>
      </rPr>
      <t xml:space="preserve"> </t>
    </r>
    <r>
      <rPr>
        <b/>
        <sz val="8"/>
        <rFont val="한컴돋움"/>
        <family val="1"/>
        <charset val="129"/>
      </rPr>
      <t>］</t>
    </r>
  </si>
  <si>
    <r>
      <t>V</t>
    </r>
    <r>
      <rPr>
        <b/>
        <i/>
        <vertAlign val="subscript"/>
        <sz val="8"/>
        <rFont val="Times New Roman"/>
        <family val="1"/>
      </rPr>
      <t>b,Rd</t>
    </r>
  </si>
  <si>
    <r>
      <t>V</t>
    </r>
    <r>
      <rPr>
        <b/>
        <i/>
        <vertAlign val="superscript"/>
        <sz val="8"/>
        <rFont val="Times New Roman"/>
        <family val="1"/>
      </rPr>
      <t>O</t>
    </r>
    <r>
      <rPr>
        <b/>
        <i/>
        <vertAlign val="subscript"/>
        <sz val="8"/>
        <rFont val="Times New Roman"/>
        <family val="1"/>
      </rPr>
      <t>b,Rd</t>
    </r>
  </si>
  <si>
    <r>
      <t>f</t>
    </r>
    <r>
      <rPr>
        <b/>
        <i/>
        <vertAlign val="subscript"/>
        <sz val="8"/>
        <rFont val="Times New Roman"/>
        <family val="1"/>
      </rPr>
      <t xml:space="preserve">S   </t>
    </r>
  </si>
  <si>
    <r>
      <t>C</t>
    </r>
    <r>
      <rPr>
        <b/>
        <vertAlign val="subscript"/>
        <sz val="8"/>
        <rFont val="Times New Roman"/>
        <family val="1"/>
      </rPr>
      <t>c</t>
    </r>
    <r>
      <rPr>
        <b/>
        <sz val="8"/>
        <rFont val="Times New Roman"/>
        <family val="1"/>
      </rPr>
      <t>(A</t>
    </r>
    <r>
      <rPr>
        <b/>
        <vertAlign val="subscript"/>
        <sz val="8"/>
        <rFont val="Times New Roman"/>
        <family val="1"/>
      </rPr>
      <t>v</t>
    </r>
    <r>
      <rPr>
        <b/>
        <sz val="8"/>
        <rFont val="Times New Roman"/>
        <family val="1"/>
      </rPr>
      <t>/A</t>
    </r>
    <r>
      <rPr>
        <b/>
        <vertAlign val="subscript"/>
        <sz val="8"/>
        <rFont val="Times New Roman"/>
        <family val="1"/>
      </rPr>
      <t>w)</t>
    </r>
  </si>
  <si>
    <r>
      <t>( C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+ S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) / ( 6*C</t>
    </r>
    <r>
      <rPr>
        <b/>
        <i/>
        <vertAlign val="subscript"/>
        <sz val="8"/>
        <rFont val="Times New Roman"/>
        <family val="1"/>
      </rPr>
      <t xml:space="preserve">min </t>
    </r>
    <r>
      <rPr>
        <b/>
        <i/>
        <sz val="8"/>
        <rFont val="Times New Roman"/>
        <family val="1"/>
      </rPr>
      <t>)*</t>
    </r>
    <r>
      <rPr>
        <b/>
        <i/>
        <sz val="8"/>
        <rFont val="맑은 고딕"/>
        <family val="3"/>
        <charset val="129"/>
      </rPr>
      <t>√</t>
    </r>
    <r>
      <rPr>
        <b/>
        <i/>
        <sz val="8"/>
        <rFont val="Times New Roman"/>
        <family val="1"/>
      </rPr>
      <t>( C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/ C</t>
    </r>
    <r>
      <rPr>
        <b/>
        <i/>
        <vertAlign val="subscript"/>
        <sz val="8"/>
        <rFont val="Times New Roman"/>
        <family val="1"/>
      </rPr>
      <t xml:space="preserve">min </t>
    </r>
    <r>
      <rPr>
        <b/>
        <i/>
        <sz val="8"/>
        <rFont val="Times New Roman"/>
        <family val="1"/>
      </rPr>
      <t>)</t>
    </r>
  </si>
  <si>
    <r>
      <t>V</t>
    </r>
    <r>
      <rPr>
        <b/>
        <vertAlign val="subscript"/>
        <sz val="8"/>
        <rFont val="Times New Roman"/>
        <family val="1"/>
      </rPr>
      <t>b,Rd</t>
    </r>
    <r>
      <rPr>
        <b/>
        <sz val="8"/>
        <rFont val="한컴바탕"/>
        <family val="1"/>
        <charset val="129"/>
      </rPr>
      <t xml:space="preserve"> </t>
    </r>
  </si>
  <si>
    <r>
      <t>V</t>
    </r>
    <r>
      <rPr>
        <b/>
        <i/>
        <vertAlign val="superscript"/>
        <sz val="8"/>
        <rFont val="Times New Roman"/>
        <family val="1"/>
      </rPr>
      <t>O</t>
    </r>
    <r>
      <rPr>
        <b/>
        <i/>
        <vertAlign val="subscript"/>
        <sz val="8"/>
        <rFont val="Times New Roman"/>
        <family val="1"/>
      </rPr>
      <t>b,Rd</t>
    </r>
    <r>
      <rPr>
        <b/>
        <i/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 f</t>
    </r>
    <r>
      <rPr>
        <b/>
        <vertAlign val="subscript"/>
        <sz val="8"/>
        <rFont val="Times New Roman"/>
        <family val="1"/>
      </rPr>
      <t>s</t>
    </r>
    <r>
      <rPr>
        <b/>
        <sz val="8"/>
        <rFont val="Times New Roman"/>
        <family val="1"/>
      </rPr>
      <t xml:space="preserve">  ×  ψ</t>
    </r>
    <r>
      <rPr>
        <b/>
        <vertAlign val="subscript"/>
        <sz val="8"/>
        <rFont val="Times New Roman"/>
        <family val="1"/>
      </rPr>
      <t xml:space="preserve">a,v  </t>
    </r>
    <r>
      <rPr>
        <b/>
        <sz val="8"/>
        <rFont val="Times New Roman"/>
        <family val="1"/>
      </rPr>
      <t xml:space="preserve">  ×  C</t>
    </r>
    <r>
      <rPr>
        <b/>
        <vertAlign val="subscript"/>
        <sz val="8"/>
        <rFont val="Times New Roman"/>
        <family val="1"/>
      </rPr>
      <t xml:space="preserve">c  </t>
    </r>
    <r>
      <rPr>
        <b/>
        <sz val="8"/>
        <rFont val="Times New Roman"/>
        <family val="1"/>
      </rPr>
      <t>×  (A</t>
    </r>
    <r>
      <rPr>
        <b/>
        <vertAlign val="subscript"/>
        <sz val="8"/>
        <rFont val="Times New Roman"/>
        <family val="1"/>
      </rPr>
      <t>v</t>
    </r>
    <r>
      <rPr>
        <b/>
        <sz val="8"/>
        <rFont val="Times New Roman"/>
        <family val="1"/>
      </rPr>
      <t>/A</t>
    </r>
    <r>
      <rPr>
        <b/>
        <vertAlign val="subscript"/>
        <sz val="8"/>
        <rFont val="Times New Roman"/>
        <family val="1"/>
      </rPr>
      <t>w</t>
    </r>
    <r>
      <rPr>
        <b/>
        <sz val="8"/>
        <rFont val="Times New Roman"/>
        <family val="1"/>
      </rPr>
      <t>)</t>
    </r>
  </si>
  <si>
    <r>
      <t>V</t>
    </r>
    <r>
      <rPr>
        <b/>
        <i/>
        <vertAlign val="subscript"/>
        <sz val="8"/>
        <rFont val="Times New Roman"/>
        <family val="1"/>
      </rPr>
      <t>s,Rd</t>
    </r>
    <r>
      <rPr>
        <b/>
        <i/>
        <sz val="8"/>
        <rFont val="Times New Roman"/>
        <family val="1"/>
      </rPr>
      <t xml:space="preserve"> </t>
    </r>
  </si>
  <si>
    <r>
      <t>V</t>
    </r>
    <r>
      <rPr>
        <b/>
        <i/>
        <vertAlign val="superscript"/>
        <sz val="8"/>
        <rFont val="Times New Roman"/>
        <family val="1"/>
      </rPr>
      <t>group</t>
    </r>
    <r>
      <rPr>
        <b/>
        <i/>
        <vertAlign val="subscript"/>
        <sz val="8"/>
        <rFont val="Times New Roman"/>
        <family val="1"/>
      </rPr>
      <t>Lrec</t>
    </r>
  </si>
  <si>
    <r>
      <rPr>
        <b/>
        <sz val="8"/>
        <rFont val="한컴돋움"/>
        <family val="1"/>
        <charset val="129"/>
      </rPr>
      <t>［</t>
    </r>
    <r>
      <rPr>
        <b/>
        <sz val="8"/>
        <rFont val="Times New Roman"/>
        <family val="1"/>
      </rPr>
      <t xml:space="preserve"> </t>
    </r>
    <r>
      <rPr>
        <b/>
        <i/>
        <sz val="8"/>
        <rFont val="Times New Roman"/>
        <family val="1"/>
      </rPr>
      <t>( cos α / N</t>
    </r>
    <r>
      <rPr>
        <b/>
        <i/>
        <vertAlign val="subscript"/>
        <sz val="8"/>
        <rFont val="Times New Roman"/>
        <family val="1"/>
      </rPr>
      <t xml:space="preserve">Lrec </t>
    </r>
    <r>
      <rPr>
        <b/>
        <i/>
        <sz val="8"/>
        <rFont val="Times New Roman"/>
        <family val="1"/>
      </rPr>
      <t>)</t>
    </r>
    <r>
      <rPr>
        <b/>
        <i/>
        <vertAlign val="superscript"/>
        <sz val="8"/>
        <rFont val="Times New Roman"/>
        <family val="1"/>
      </rPr>
      <t>1.5</t>
    </r>
    <r>
      <rPr>
        <b/>
        <i/>
        <sz val="8"/>
        <rFont val="Times New Roman"/>
        <family val="1"/>
      </rPr>
      <t xml:space="preserve"> +  ( sin α / V</t>
    </r>
    <r>
      <rPr>
        <b/>
        <i/>
        <vertAlign val="subscript"/>
        <sz val="8"/>
        <rFont val="Times New Roman"/>
        <family val="1"/>
      </rPr>
      <t xml:space="preserve">Lrec </t>
    </r>
    <r>
      <rPr>
        <b/>
        <i/>
        <sz val="8"/>
        <rFont val="Times New Roman"/>
        <family val="1"/>
      </rPr>
      <t>)</t>
    </r>
    <r>
      <rPr>
        <b/>
        <i/>
        <vertAlign val="superscript"/>
        <sz val="8"/>
        <rFont val="Times New Roman"/>
        <family val="1"/>
      </rPr>
      <t xml:space="preserve">1.5 </t>
    </r>
    <r>
      <rPr>
        <b/>
        <sz val="8"/>
        <rFont val="한컴돋움"/>
        <family val="1"/>
        <charset val="129"/>
      </rPr>
      <t>］</t>
    </r>
    <r>
      <rPr>
        <b/>
        <i/>
        <vertAlign val="superscript"/>
        <sz val="8"/>
        <rFont val="Times New Roman"/>
        <family val="1"/>
      </rPr>
      <t>-2/3</t>
    </r>
  </si>
  <si>
    <r>
      <t>F</t>
    </r>
    <r>
      <rPr>
        <b/>
        <i/>
        <vertAlign val="subscript"/>
        <sz val="8"/>
        <rFont val="Times New Roman"/>
        <family val="1"/>
      </rPr>
      <t>Sd</t>
    </r>
  </si>
  <si>
    <r>
      <t>F</t>
    </r>
    <r>
      <rPr>
        <b/>
        <i/>
        <vertAlign val="subscript"/>
        <sz val="8"/>
        <rFont val="Times New Roman"/>
        <family val="1"/>
      </rPr>
      <t>Sd</t>
    </r>
    <r>
      <rPr>
        <b/>
        <i/>
        <sz val="8"/>
        <rFont val="Times New Roman"/>
        <family val="1"/>
      </rPr>
      <t xml:space="preserve">  /  F</t>
    </r>
    <r>
      <rPr>
        <b/>
        <i/>
        <vertAlign val="subscript"/>
        <sz val="8"/>
        <rFont val="Times New Roman"/>
        <family val="1"/>
      </rPr>
      <t>Rd</t>
    </r>
  </si>
  <si>
    <t>MODELING</t>
  </si>
  <si>
    <t>시트/모델링</t>
  </si>
  <si>
    <t>mm</t>
  </si>
  <si>
    <t>SS 275  Yield Strength</t>
  </si>
  <si>
    <r>
      <t>0.66 * F</t>
    </r>
    <r>
      <rPr>
        <b/>
        <i/>
        <vertAlign val="subscript"/>
        <sz val="9"/>
        <rFont val="Times New Roman"/>
        <family val="1"/>
      </rPr>
      <t>y</t>
    </r>
  </si>
  <si>
    <r>
      <t>A</t>
    </r>
    <r>
      <rPr>
        <b/>
        <i/>
        <vertAlign val="subscript"/>
        <sz val="9"/>
        <rFont val="Times New Roman"/>
        <family val="1"/>
      </rPr>
      <t>SUM</t>
    </r>
  </si>
  <si>
    <t>1) GENERAL</t>
    <phoneticPr fontId="2" type="noConversion"/>
  </si>
  <si>
    <t>W.L</t>
    <phoneticPr fontId="2" type="noConversion"/>
  </si>
  <si>
    <t>kPa</t>
    <phoneticPr fontId="2" type="noConversion"/>
  </si>
  <si>
    <t>( Design Wind Load )</t>
    <phoneticPr fontId="2" type="noConversion"/>
  </si>
  <si>
    <r>
      <t>E</t>
    </r>
    <r>
      <rPr>
        <b/>
        <i/>
        <vertAlign val="subscript"/>
        <sz val="8"/>
        <rFont val="Times New Roman"/>
        <family val="1"/>
      </rPr>
      <t>ALUM.</t>
    </r>
  </si>
  <si>
    <t>MPa</t>
    <phoneticPr fontId="2" type="noConversion"/>
  </si>
  <si>
    <t>( 6063 - T</t>
    <phoneticPr fontId="2" type="noConversion"/>
  </si>
  <si>
    <t>( Modulus of Elasticity , Alloy &amp; Temper)</t>
    <phoneticPr fontId="2" type="noConversion"/>
  </si>
  <si>
    <r>
      <t>G</t>
    </r>
    <r>
      <rPr>
        <b/>
        <i/>
        <vertAlign val="subscript"/>
        <sz val="8"/>
        <rFont val="Times New Roman"/>
        <family val="1"/>
      </rPr>
      <t>THK.</t>
    </r>
  </si>
  <si>
    <t>mm PAIR GLASS</t>
    <phoneticPr fontId="2" type="noConversion"/>
  </si>
  <si>
    <t>( Glass Type )</t>
    <phoneticPr fontId="2" type="noConversion"/>
  </si>
  <si>
    <t>S.P.</t>
    <phoneticPr fontId="2" type="noConversion"/>
  </si>
  <si>
    <t>Point from End</t>
    <phoneticPr fontId="2" type="noConversion"/>
  </si>
  <si>
    <t>( Setting Block Location )</t>
    <phoneticPr fontId="2" type="noConversion"/>
  </si>
  <si>
    <t>W</t>
    <phoneticPr fontId="2" type="noConversion"/>
  </si>
  <si>
    <t>( Module Width )</t>
    <phoneticPr fontId="2" type="noConversion"/>
  </si>
  <si>
    <r>
      <t>h</t>
    </r>
    <r>
      <rPr>
        <b/>
        <i/>
        <vertAlign val="subscript"/>
        <sz val="8"/>
        <rFont val="Times New Roman"/>
        <family val="1"/>
      </rPr>
      <t>1</t>
    </r>
  </si>
  <si>
    <t>( Module Height )</t>
    <phoneticPr fontId="2" type="noConversion"/>
  </si>
  <si>
    <r>
      <t>h</t>
    </r>
    <r>
      <rPr>
        <b/>
        <i/>
        <vertAlign val="subscript"/>
        <sz val="8"/>
        <rFont val="Times New Roman"/>
        <family val="1"/>
      </rPr>
      <t>2</t>
    </r>
  </si>
  <si>
    <r>
      <t>M</t>
    </r>
    <r>
      <rPr>
        <b/>
        <i/>
        <vertAlign val="subscript"/>
        <sz val="8"/>
        <rFont val="Times New Roman"/>
        <family val="1"/>
      </rPr>
      <t>D.L</t>
    </r>
  </si>
  <si>
    <t>(P.         )</t>
    <phoneticPr fontId="2" type="noConversion"/>
  </si>
  <si>
    <t>( Max. Bending Moment )</t>
    <phoneticPr fontId="2" type="noConversion"/>
  </si>
  <si>
    <r>
      <t>M</t>
    </r>
    <r>
      <rPr>
        <b/>
        <i/>
        <vertAlign val="subscript"/>
        <sz val="8"/>
        <rFont val="Times New Roman"/>
        <family val="1"/>
      </rPr>
      <t>W.L</t>
    </r>
  </si>
  <si>
    <r>
      <t>δ</t>
    </r>
    <r>
      <rPr>
        <b/>
        <i/>
        <vertAlign val="subscript"/>
        <sz val="8"/>
        <rFont val="Times New Roman"/>
        <family val="1"/>
      </rPr>
      <t>D.L</t>
    </r>
  </si>
  <si>
    <t>( Max. Deflection )</t>
    <phoneticPr fontId="2" type="noConversion"/>
  </si>
  <si>
    <r>
      <t>δ</t>
    </r>
    <r>
      <rPr>
        <b/>
        <i/>
        <vertAlign val="subscript"/>
        <sz val="8"/>
        <rFont val="Times New Roman"/>
        <family val="1"/>
      </rPr>
      <t>W.L</t>
    </r>
  </si>
  <si>
    <t>2) SECTION PROPERTY</t>
    <phoneticPr fontId="2" type="noConversion"/>
  </si>
  <si>
    <t>Symbol</t>
    <phoneticPr fontId="2" type="noConversion"/>
  </si>
  <si>
    <t>Unit</t>
    <phoneticPr fontId="2" type="noConversion"/>
  </si>
  <si>
    <t>Alum.</t>
    <phoneticPr fontId="2" type="noConversion"/>
  </si>
  <si>
    <t>WINDOW  TYPE</t>
    <phoneticPr fontId="2" type="noConversion"/>
  </si>
  <si>
    <t>A</t>
    <phoneticPr fontId="2" type="noConversion"/>
  </si>
  <si>
    <r>
      <t>( mm</t>
    </r>
    <r>
      <rPr>
        <b/>
        <vertAlign val="superscript"/>
        <sz val="8"/>
        <rFont val="한컴돋움"/>
        <family val="1"/>
        <charset val="129"/>
      </rPr>
      <t>2</t>
    </r>
    <r>
      <rPr>
        <b/>
        <sz val="8"/>
        <rFont val="한컴돋움"/>
        <family val="1"/>
        <charset val="129"/>
      </rPr>
      <t xml:space="preserve"> )</t>
    </r>
  </si>
  <si>
    <t>WINDOW</t>
    <phoneticPr fontId="2" type="noConversion"/>
  </si>
  <si>
    <r>
      <t>I</t>
    </r>
    <r>
      <rPr>
        <b/>
        <i/>
        <vertAlign val="subscript"/>
        <sz val="8"/>
        <rFont val="Times New Roman"/>
        <family val="1"/>
      </rPr>
      <t>X</t>
    </r>
  </si>
  <si>
    <r>
      <t>( mm</t>
    </r>
    <r>
      <rPr>
        <b/>
        <vertAlign val="superscript"/>
        <sz val="8"/>
        <rFont val="한컴돋움"/>
        <family val="1"/>
        <charset val="129"/>
      </rPr>
      <t>4</t>
    </r>
    <r>
      <rPr>
        <b/>
        <sz val="8"/>
        <rFont val="한컴돋움"/>
        <family val="1"/>
        <charset val="129"/>
      </rPr>
      <t xml:space="preserve"> )</t>
    </r>
  </si>
  <si>
    <r>
      <t>I</t>
    </r>
    <r>
      <rPr>
        <b/>
        <i/>
        <vertAlign val="subscript"/>
        <sz val="8"/>
        <rFont val="Times New Roman"/>
        <family val="1"/>
      </rPr>
      <t>Y</t>
    </r>
  </si>
  <si>
    <t>x</t>
    <phoneticPr fontId="2" type="noConversion"/>
  </si>
  <si>
    <t>( mm )</t>
    <phoneticPr fontId="2" type="noConversion"/>
  </si>
  <si>
    <t>( Distance from Neutral Axis )</t>
    <phoneticPr fontId="2" type="noConversion"/>
  </si>
  <si>
    <t>y</t>
    <phoneticPr fontId="2" type="noConversion"/>
  </si>
  <si>
    <r>
      <t>S</t>
    </r>
    <r>
      <rPr>
        <b/>
        <i/>
        <vertAlign val="subscript"/>
        <sz val="8"/>
        <rFont val="Times New Roman"/>
        <family val="1"/>
      </rPr>
      <t>X</t>
    </r>
  </si>
  <si>
    <r>
      <t>( mm</t>
    </r>
    <r>
      <rPr>
        <b/>
        <vertAlign val="superscript"/>
        <sz val="8"/>
        <rFont val="한컴돋움"/>
        <family val="1"/>
        <charset val="129"/>
      </rPr>
      <t>3</t>
    </r>
    <r>
      <rPr>
        <b/>
        <sz val="8"/>
        <rFont val="한컴돋움"/>
        <family val="1"/>
        <charset val="129"/>
      </rPr>
      <t xml:space="preserve"> )</t>
    </r>
  </si>
  <si>
    <t>( Elastic Section Modulus )</t>
    <phoneticPr fontId="2" type="noConversion"/>
  </si>
  <si>
    <r>
      <t>S</t>
    </r>
    <r>
      <rPr>
        <b/>
        <i/>
        <vertAlign val="subscript"/>
        <sz val="8"/>
        <rFont val="Times New Roman"/>
        <family val="1"/>
      </rPr>
      <t>Y</t>
    </r>
  </si>
  <si>
    <t>J</t>
    <phoneticPr fontId="2" type="noConversion"/>
  </si>
  <si>
    <t>( Torsion Constant )</t>
    <phoneticPr fontId="2" type="noConversion"/>
  </si>
  <si>
    <r>
      <rPr>
        <b/>
        <i/>
        <sz val="8"/>
        <rFont val="Times New Roman"/>
        <family val="1"/>
      </rPr>
      <t>J</t>
    </r>
    <r>
      <rPr>
        <b/>
        <sz val="8"/>
        <rFont val="Times New Roman"/>
        <family val="1"/>
      </rPr>
      <t xml:space="preserve"> - </t>
    </r>
    <r>
      <rPr>
        <b/>
        <sz val="8"/>
        <rFont val="한컴돋움"/>
        <family val="1"/>
        <charset val="129"/>
      </rPr>
      <t>Cross Section Notation (mm)</t>
    </r>
  </si>
  <si>
    <t>Check Stress (mm)</t>
    <phoneticPr fontId="2" type="noConversion"/>
  </si>
  <si>
    <t>a</t>
    <phoneticPr fontId="2" type="noConversion"/>
  </si>
  <si>
    <t># SPEC</t>
    <phoneticPr fontId="2" type="noConversion"/>
  </si>
  <si>
    <t>t</t>
    <phoneticPr fontId="2" type="noConversion"/>
  </si>
  <si>
    <t>b , h</t>
    <phoneticPr fontId="2" type="noConversion"/>
  </si>
  <si>
    <t>b</t>
    <phoneticPr fontId="2" type="noConversion"/>
  </si>
  <si>
    <t xml:space="preserve">F.3.1   </t>
    <phoneticPr fontId="2" type="noConversion"/>
  </si>
  <si>
    <t>*</t>
    <phoneticPr fontId="2" type="noConversion"/>
  </si>
  <si>
    <t>#. 14</t>
    <phoneticPr fontId="2" type="noConversion"/>
  </si>
  <si>
    <r>
      <t>t</t>
    </r>
    <r>
      <rPr>
        <b/>
        <i/>
        <vertAlign val="subscript"/>
        <sz val="8"/>
        <rFont val="Times New Roman"/>
        <family val="1"/>
      </rPr>
      <t>1</t>
    </r>
  </si>
  <si>
    <t>#. 16</t>
    <phoneticPr fontId="2" type="noConversion"/>
  </si>
  <si>
    <r>
      <t>t</t>
    </r>
    <r>
      <rPr>
        <b/>
        <i/>
        <vertAlign val="subscript"/>
        <sz val="8"/>
        <rFont val="Times New Roman"/>
        <family val="1"/>
      </rPr>
      <t>2</t>
    </r>
  </si>
  <si>
    <t>#. 18</t>
    <phoneticPr fontId="2" type="noConversion"/>
  </si>
  <si>
    <t>Result ( MPa )</t>
    <phoneticPr fontId="2" type="noConversion"/>
  </si>
  <si>
    <t>Actual</t>
    <phoneticPr fontId="2" type="noConversion"/>
  </si>
  <si>
    <t>Allowable</t>
    <phoneticPr fontId="2" type="noConversion"/>
  </si>
  <si>
    <r>
      <t xml:space="preserve">Stress </t>
    </r>
    <r>
      <rPr>
        <b/>
        <i/>
        <sz val="8"/>
        <rFont val="Times New Roman"/>
        <family val="1"/>
      </rPr>
      <t>(σ)</t>
    </r>
  </si>
  <si>
    <t>D.L</t>
    <phoneticPr fontId="2" type="noConversion"/>
  </si>
  <si>
    <t>Comb.</t>
    <phoneticPr fontId="2" type="noConversion"/>
  </si>
  <si>
    <t>D.L  +  W.L</t>
    <phoneticPr fontId="2" type="noConversion"/>
  </si>
  <si>
    <t>허용처짐 (mm)</t>
    <phoneticPr fontId="2" type="noConversion"/>
  </si>
  <si>
    <r>
      <t>Deflection</t>
    </r>
    <r>
      <rPr>
        <b/>
        <vertAlign val="subscript"/>
        <sz val="8"/>
        <rFont val="한컴돋움"/>
        <family val="1"/>
        <charset val="129"/>
      </rPr>
      <t xml:space="preserve"> </t>
    </r>
    <r>
      <rPr>
        <b/>
        <i/>
        <sz val="8"/>
        <rFont val="Times New Roman"/>
        <family val="1"/>
      </rPr>
      <t>(δ)</t>
    </r>
  </si>
  <si>
    <t>OPEN</t>
    <phoneticPr fontId="2" type="noConversion"/>
  </si>
  <si>
    <t>FIX</t>
    <phoneticPr fontId="2" type="noConversion"/>
  </si>
  <si>
    <t>.</t>
    <phoneticPr fontId="2" type="noConversion"/>
  </si>
  <si>
    <t>3) FRAME ANALYSIS</t>
    <phoneticPr fontId="3" type="noConversion"/>
  </si>
  <si>
    <t xml:space="preserve">(1) FOR DEAD LOAD </t>
    <phoneticPr fontId="3" type="noConversion"/>
  </si>
  <si>
    <t>( GLASS )</t>
    <phoneticPr fontId="2" type="noConversion"/>
  </si>
  <si>
    <t>·  Simply Supported Beam W/ Two Equal Concentrated Forces @ Sym. Distance</t>
    <phoneticPr fontId="3" type="noConversion"/>
  </si>
  <si>
    <t xml:space="preserve">( ALUM. ) </t>
    <phoneticPr fontId="2" type="noConversion"/>
  </si>
  <si>
    <t>·  Simply Supported Beam W/ Uniformly Distributed Load</t>
    <phoneticPr fontId="3" type="noConversion"/>
  </si>
  <si>
    <t xml:space="preserve">          ( GLASS : Concentrared Forces )</t>
    <phoneticPr fontId="2" type="noConversion"/>
  </si>
  <si>
    <t>( ALUM. : Uniform Loads )</t>
    <phoneticPr fontId="2" type="noConversion"/>
  </si>
  <si>
    <t>-. INPUT DATA</t>
    <phoneticPr fontId="3" type="noConversion"/>
  </si>
  <si>
    <t>g  =</t>
    <phoneticPr fontId="2" type="noConversion"/>
  </si>
  <si>
    <t>GLASS   :</t>
    <phoneticPr fontId="2" type="noConversion"/>
  </si>
  <si>
    <r>
      <t>N/mm</t>
    </r>
    <r>
      <rPr>
        <b/>
        <vertAlign val="superscript"/>
        <sz val="8"/>
        <rFont val="한컴돋움"/>
        <family val="1"/>
        <charset val="129"/>
      </rPr>
      <t xml:space="preserve">3 </t>
    </r>
    <r>
      <rPr>
        <b/>
        <sz val="12"/>
        <rFont val="한컴바탕"/>
        <family val="1"/>
        <charset val="129"/>
      </rPr>
      <t/>
    </r>
  </si>
  <si>
    <r>
      <t>kgf/m</t>
    </r>
    <r>
      <rPr>
        <b/>
        <vertAlign val="superscript"/>
        <sz val="8"/>
        <rFont val="한컴돋움"/>
        <family val="1"/>
        <charset val="129"/>
      </rPr>
      <t xml:space="preserve">3 </t>
    </r>
    <r>
      <rPr>
        <b/>
        <sz val="12"/>
        <rFont val="한컴바탕"/>
        <family val="1"/>
        <charset val="129"/>
      </rPr>
      <t/>
    </r>
  </si>
  <si>
    <t>L</t>
    <phoneticPr fontId="2" type="noConversion"/>
  </si>
  <si>
    <t>P</t>
    <phoneticPr fontId="2" type="noConversion"/>
  </si>
  <si>
    <t>N</t>
    <phoneticPr fontId="2" type="noConversion"/>
  </si>
  <si>
    <t>ALUM.   :</t>
    <phoneticPr fontId="2" type="noConversion"/>
  </si>
  <si>
    <t>H</t>
    <phoneticPr fontId="2" type="noConversion"/>
  </si>
  <si>
    <t>( GLASS WEIGHT )</t>
    <phoneticPr fontId="2" type="noConversion"/>
  </si>
  <si>
    <t>STEEL   :</t>
    <phoneticPr fontId="2" type="noConversion"/>
  </si>
  <si>
    <t>Weight</t>
    <phoneticPr fontId="2" type="noConversion"/>
  </si>
  <si>
    <t>AREA   :</t>
    <phoneticPr fontId="2" type="noConversion"/>
  </si>
  <si>
    <r>
      <t>mm</t>
    </r>
    <r>
      <rPr>
        <b/>
        <vertAlign val="superscript"/>
        <sz val="8"/>
        <rFont val="한컴돋움"/>
        <family val="1"/>
        <charset val="129"/>
      </rPr>
      <t>2</t>
    </r>
  </si>
  <si>
    <t>( ALUM. WEIGHT )</t>
    <phoneticPr fontId="2" type="noConversion"/>
  </si>
  <si>
    <t>WEIGHT   :</t>
    <phoneticPr fontId="2" type="noConversion"/>
  </si>
  <si>
    <r>
      <t>mm</t>
    </r>
    <r>
      <rPr>
        <b/>
        <vertAlign val="superscript"/>
        <sz val="8"/>
        <rFont val="한컴돋움"/>
        <family val="1"/>
        <charset val="129"/>
      </rPr>
      <t>4</t>
    </r>
  </si>
  <si>
    <t>w</t>
    <phoneticPr fontId="2" type="noConversion"/>
  </si>
  <si>
    <t>Weight  /  L</t>
    <phoneticPr fontId="2" type="noConversion"/>
  </si>
  <si>
    <r>
      <t>N/mm</t>
    </r>
    <r>
      <rPr>
        <b/>
        <vertAlign val="superscript"/>
        <sz val="8"/>
        <rFont val="한컴돋움"/>
        <family val="1"/>
        <charset val="129"/>
      </rPr>
      <t xml:space="preserve"> </t>
    </r>
  </si>
  <si>
    <t>유리두께(t)</t>
    <phoneticPr fontId="2" type="noConversion"/>
  </si>
  <si>
    <t>순유리두께(mm)</t>
    <phoneticPr fontId="2" type="noConversion"/>
  </si>
  <si>
    <t>두께구성</t>
    <phoneticPr fontId="2" type="noConversion"/>
  </si>
  <si>
    <t>무게 (N/m²)</t>
    <phoneticPr fontId="2" type="noConversion"/>
  </si>
  <si>
    <t>(kgf/m²)</t>
    <phoneticPr fontId="2" type="noConversion"/>
  </si>
  <si>
    <t>3+6A+3</t>
    <phoneticPr fontId="2" type="noConversion"/>
  </si>
  <si>
    <t>5+6A+5</t>
    <phoneticPr fontId="2" type="noConversion"/>
  </si>
  <si>
    <r>
      <t>R</t>
    </r>
    <r>
      <rPr>
        <b/>
        <i/>
        <vertAlign val="subscript"/>
        <sz val="8"/>
        <rFont val="Times New Roman"/>
        <family val="1"/>
      </rPr>
      <t>A1</t>
    </r>
  </si>
  <si>
    <r>
      <t>R</t>
    </r>
    <r>
      <rPr>
        <b/>
        <i/>
        <vertAlign val="subscript"/>
        <sz val="8"/>
        <rFont val="Times New Roman"/>
        <family val="1"/>
      </rPr>
      <t>B1</t>
    </r>
  </si>
  <si>
    <r>
      <t>R</t>
    </r>
    <r>
      <rPr>
        <b/>
        <i/>
        <vertAlign val="subscript"/>
        <sz val="8"/>
        <rFont val="Times New Roman"/>
        <family val="1"/>
      </rPr>
      <t>A2</t>
    </r>
  </si>
  <si>
    <r>
      <t>R</t>
    </r>
    <r>
      <rPr>
        <b/>
        <i/>
        <vertAlign val="subscript"/>
        <sz val="8"/>
        <rFont val="Times New Roman"/>
        <family val="1"/>
      </rPr>
      <t>B2</t>
    </r>
  </si>
  <si>
    <t>6+6A+6</t>
    <phoneticPr fontId="2" type="noConversion"/>
  </si>
  <si>
    <r>
      <t xml:space="preserve">( w </t>
    </r>
    <r>
      <rPr>
        <b/>
        <sz val="8"/>
        <rFont val="바탕"/>
        <family val="1"/>
        <charset val="129"/>
      </rPr>
      <t>×</t>
    </r>
    <r>
      <rPr>
        <b/>
        <i/>
        <sz val="8"/>
        <rFont val="Times New Roman"/>
        <family val="1"/>
      </rPr>
      <t xml:space="preserve"> L ) / 2</t>
    </r>
  </si>
  <si>
    <t>5+12A+5</t>
    <phoneticPr fontId="2" type="noConversion"/>
  </si>
  <si>
    <t>6+12A+6</t>
    <phoneticPr fontId="2" type="noConversion"/>
  </si>
  <si>
    <t>8+12A+8</t>
    <phoneticPr fontId="2" type="noConversion"/>
  </si>
  <si>
    <r>
      <t>M</t>
    </r>
    <r>
      <rPr>
        <b/>
        <i/>
        <vertAlign val="subscript"/>
        <sz val="8"/>
        <rFont val="Times New Roman"/>
        <family val="1"/>
      </rPr>
      <t>D.L 1</t>
    </r>
  </si>
  <si>
    <r>
      <t xml:space="preserve">P </t>
    </r>
    <r>
      <rPr>
        <b/>
        <sz val="8"/>
        <rFont val="바탕"/>
        <family val="1"/>
        <charset val="129"/>
      </rPr>
      <t>×</t>
    </r>
    <r>
      <rPr>
        <b/>
        <i/>
        <sz val="8"/>
        <rFont val="Times New Roman"/>
        <family val="1"/>
      </rPr>
      <t xml:space="preserve"> a</t>
    </r>
  </si>
  <si>
    <r>
      <t>M</t>
    </r>
    <r>
      <rPr>
        <b/>
        <i/>
        <vertAlign val="subscript"/>
        <sz val="8"/>
        <rFont val="Times New Roman"/>
        <family val="1"/>
      </rPr>
      <t>D.L 2</t>
    </r>
  </si>
  <si>
    <r>
      <t xml:space="preserve">( w </t>
    </r>
    <r>
      <rPr>
        <b/>
        <sz val="8"/>
        <rFont val="바탕"/>
        <family val="1"/>
        <charset val="129"/>
      </rPr>
      <t>×</t>
    </r>
    <r>
      <rPr>
        <b/>
        <i/>
        <sz val="8"/>
        <rFont val="Times New Roman"/>
        <family val="1"/>
      </rPr>
      <t xml:space="preserve"> L</t>
    </r>
    <r>
      <rPr>
        <b/>
        <i/>
        <vertAlign val="super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) / 8</t>
    </r>
  </si>
  <si>
    <t>N.mm</t>
    <phoneticPr fontId="2" type="noConversion"/>
  </si>
  <si>
    <r>
      <t>M</t>
    </r>
    <r>
      <rPr>
        <b/>
        <i/>
        <vertAlign val="subscript"/>
        <sz val="8"/>
        <rFont val="Times New Roman"/>
        <family val="1"/>
      </rPr>
      <t>D.L 1</t>
    </r>
    <r>
      <rPr>
        <b/>
        <i/>
        <sz val="8"/>
        <rFont val="Times New Roman"/>
        <family val="1"/>
      </rPr>
      <t xml:space="preserve"> +  M</t>
    </r>
    <r>
      <rPr>
        <b/>
        <i/>
        <vertAlign val="subscript"/>
        <sz val="8"/>
        <rFont val="Times New Roman"/>
        <family val="1"/>
      </rPr>
      <t>D.L 2</t>
    </r>
  </si>
  <si>
    <r>
      <t>δ</t>
    </r>
    <r>
      <rPr>
        <b/>
        <i/>
        <vertAlign val="subscript"/>
        <sz val="8"/>
        <rFont val="Times New Roman"/>
        <family val="1"/>
      </rPr>
      <t>D.L 1</t>
    </r>
  </si>
  <si>
    <r>
      <t xml:space="preserve">P </t>
    </r>
    <r>
      <rPr>
        <b/>
        <sz val="8"/>
        <rFont val="바탕"/>
        <family val="1"/>
        <charset val="129"/>
      </rPr>
      <t>×</t>
    </r>
    <r>
      <rPr>
        <b/>
        <i/>
        <sz val="8"/>
        <rFont val="Times New Roman"/>
        <family val="1"/>
      </rPr>
      <t xml:space="preserve"> a ( 3L</t>
    </r>
    <r>
      <rPr>
        <b/>
        <i/>
        <vertAlign val="super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- 4a</t>
    </r>
    <r>
      <rPr>
        <b/>
        <i/>
        <vertAlign val="super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) / 24 EI</t>
    </r>
  </si>
  <si>
    <r>
      <t>δ</t>
    </r>
    <r>
      <rPr>
        <b/>
        <i/>
        <vertAlign val="subscript"/>
        <sz val="8"/>
        <rFont val="Times New Roman"/>
        <family val="1"/>
      </rPr>
      <t>D.L 2</t>
    </r>
  </si>
  <si>
    <r>
      <t xml:space="preserve">( 5w </t>
    </r>
    <r>
      <rPr>
        <b/>
        <sz val="8"/>
        <rFont val="바탕"/>
        <family val="1"/>
        <charset val="129"/>
      </rPr>
      <t>×</t>
    </r>
    <r>
      <rPr>
        <b/>
        <i/>
        <sz val="8"/>
        <rFont val="Times New Roman"/>
        <family val="1"/>
      </rPr>
      <t xml:space="preserve"> L</t>
    </r>
    <r>
      <rPr>
        <b/>
        <i/>
        <vertAlign val="superscript"/>
        <sz val="8"/>
        <rFont val="Times New Roman"/>
        <family val="1"/>
      </rPr>
      <t>4</t>
    </r>
    <r>
      <rPr>
        <b/>
        <i/>
        <sz val="8"/>
        <rFont val="Times New Roman"/>
        <family val="1"/>
      </rPr>
      <t xml:space="preserve"> ) / 384 EI</t>
    </r>
  </si>
  <si>
    <r>
      <t>δ</t>
    </r>
    <r>
      <rPr>
        <b/>
        <i/>
        <vertAlign val="subscript"/>
        <sz val="8"/>
        <rFont val="Times New Roman"/>
        <family val="1"/>
      </rPr>
      <t xml:space="preserve">D.L 1  </t>
    </r>
    <r>
      <rPr>
        <b/>
        <i/>
        <sz val="8"/>
        <rFont val="Times New Roman"/>
        <family val="1"/>
      </rPr>
      <t>+  δ</t>
    </r>
    <r>
      <rPr>
        <b/>
        <i/>
        <vertAlign val="subscript"/>
        <sz val="8"/>
        <rFont val="Times New Roman"/>
        <family val="1"/>
      </rPr>
      <t>D.L 2</t>
    </r>
  </si>
  <si>
    <t xml:space="preserve">(2) FOR WIND LOAD </t>
    <phoneticPr fontId="3" type="noConversion"/>
  </si>
  <si>
    <t>결 과   :</t>
    <phoneticPr fontId="2" type="noConversion"/>
  </si>
  <si>
    <t>( UPPER )</t>
    <phoneticPr fontId="2" type="noConversion"/>
  </si>
  <si>
    <t xml:space="preserve">( BOTTOM ) </t>
    <phoneticPr fontId="2" type="noConversion"/>
  </si>
  <si>
    <t>·  Simpley Supported Beam W/ Distributed Load Increasing Toward Center</t>
    <phoneticPr fontId="2" type="noConversion"/>
  </si>
  <si>
    <t>·  Simpley Supported Beam W/ Uniformly Distributed Load, Decreasing @ Both Eeds</t>
    <phoneticPr fontId="2" type="noConversion"/>
  </si>
  <si>
    <r>
      <t>w</t>
    </r>
    <r>
      <rPr>
        <b/>
        <i/>
        <vertAlign val="subscript"/>
        <sz val="8"/>
        <rFont val="Times New Roman"/>
        <family val="1"/>
      </rPr>
      <t>1</t>
    </r>
  </si>
  <si>
    <r>
      <t>w</t>
    </r>
    <r>
      <rPr>
        <b/>
        <i/>
        <vertAlign val="subscript"/>
        <sz val="8"/>
        <rFont val="Times New Roman"/>
        <family val="1"/>
      </rPr>
      <t>2</t>
    </r>
  </si>
  <si>
    <r>
      <t xml:space="preserve"> H</t>
    </r>
    <r>
      <rPr>
        <vertAlign val="sub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</t>
    </r>
    <r>
      <rPr>
        <sz val="8"/>
        <rFont val="한컴바탕"/>
        <family val="1"/>
        <charset val="129"/>
      </rPr>
      <t>≥</t>
    </r>
    <r>
      <rPr>
        <sz val="8"/>
        <rFont val="Times New Roman"/>
        <family val="1"/>
      </rPr>
      <t xml:space="preserve"> L</t>
    </r>
  </si>
  <si>
    <r>
      <t xml:space="preserve">( W.L </t>
    </r>
    <r>
      <rPr>
        <sz val="8"/>
        <rFont val="바탕"/>
        <family val="1"/>
        <charset val="129"/>
      </rPr>
      <t>×</t>
    </r>
    <r>
      <rPr>
        <sz val="8"/>
        <rFont val="Times New Roman"/>
        <family val="1"/>
      </rPr>
      <t xml:space="preserve"> L ) / 2</t>
    </r>
  </si>
  <si>
    <r>
      <t>a</t>
    </r>
    <r>
      <rPr>
        <b/>
        <i/>
        <vertAlign val="subscript"/>
        <sz val="8"/>
        <rFont val="Times New Roman"/>
        <family val="1"/>
      </rPr>
      <t>1</t>
    </r>
  </si>
  <si>
    <r>
      <t>H</t>
    </r>
    <r>
      <rPr>
        <b/>
        <i/>
        <vertAlign val="subscript"/>
        <sz val="8"/>
        <rFont val="Times New Roman"/>
        <family val="1"/>
      </rPr>
      <t>1</t>
    </r>
    <r>
      <rPr>
        <b/>
        <i/>
        <sz val="8"/>
        <rFont val="Times New Roman"/>
        <family val="1"/>
      </rPr>
      <t xml:space="preserve"> / 2</t>
    </r>
  </si>
  <si>
    <r>
      <t>a</t>
    </r>
    <r>
      <rPr>
        <b/>
        <i/>
        <vertAlign val="subscript"/>
        <sz val="8"/>
        <rFont val="Times New Roman"/>
        <family val="1"/>
      </rPr>
      <t>2</t>
    </r>
  </si>
  <si>
    <r>
      <t>H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/ 2</t>
    </r>
  </si>
  <si>
    <r>
      <t xml:space="preserve"> H</t>
    </r>
    <r>
      <rPr>
        <vertAlign val="sub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&lt; L</t>
    </r>
  </si>
  <si>
    <r>
      <t xml:space="preserve">W.L </t>
    </r>
    <r>
      <rPr>
        <sz val="8"/>
        <rFont val="바탕"/>
        <family val="1"/>
        <charset val="129"/>
      </rPr>
      <t>×</t>
    </r>
    <r>
      <rPr>
        <sz val="8"/>
        <rFont val="Times New Roman"/>
        <family val="1"/>
      </rPr>
      <t xml:space="preserve"> a</t>
    </r>
    <r>
      <rPr>
        <sz val="8"/>
        <rFont val="바탕"/>
        <family val="1"/>
        <charset val="129"/>
      </rPr>
      <t>₁</t>
    </r>
  </si>
  <si>
    <r>
      <t xml:space="preserve"> H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</t>
    </r>
    <r>
      <rPr>
        <sz val="8"/>
        <rFont val="한컴바탕"/>
        <family val="1"/>
        <charset val="129"/>
      </rPr>
      <t>≥</t>
    </r>
    <r>
      <rPr>
        <sz val="8"/>
        <rFont val="Times New Roman"/>
        <family val="1"/>
      </rPr>
      <t xml:space="preserve"> L</t>
    </r>
  </si>
  <si>
    <r>
      <t xml:space="preserve"> H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&lt; L</t>
    </r>
  </si>
  <si>
    <r>
      <t xml:space="preserve">W.L </t>
    </r>
    <r>
      <rPr>
        <sz val="8"/>
        <rFont val="바탕"/>
        <family val="1"/>
        <charset val="129"/>
      </rPr>
      <t>×</t>
    </r>
    <r>
      <rPr>
        <sz val="8"/>
        <rFont val="Times New Roman"/>
        <family val="1"/>
      </rPr>
      <t xml:space="preserve"> a</t>
    </r>
    <r>
      <rPr>
        <sz val="8"/>
        <rFont val="바탕"/>
        <family val="1"/>
        <charset val="129"/>
      </rPr>
      <t>₂</t>
    </r>
  </si>
  <si>
    <r>
      <t>( w</t>
    </r>
    <r>
      <rPr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× L ) / 4</t>
    </r>
  </si>
  <si>
    <r>
      <t>w</t>
    </r>
    <r>
      <rPr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( L - a</t>
    </r>
    <r>
      <rPr>
        <vertAlign val="subscript"/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) / 2</t>
    </r>
  </si>
  <si>
    <r>
      <t>( w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× L ) / 4</t>
    </r>
  </si>
  <si>
    <r>
      <t>w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( L - a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) / 2</t>
    </r>
  </si>
  <si>
    <r>
      <t>R</t>
    </r>
    <r>
      <rPr>
        <b/>
        <i/>
        <vertAlign val="subscript"/>
        <sz val="8"/>
        <rFont val="Times New Roman"/>
        <family val="1"/>
      </rPr>
      <t>A</t>
    </r>
  </si>
  <si>
    <r>
      <t>R</t>
    </r>
    <r>
      <rPr>
        <b/>
        <i/>
        <vertAlign val="subscript"/>
        <sz val="8"/>
        <rFont val="Times New Roman"/>
        <family val="1"/>
      </rPr>
      <t>A1</t>
    </r>
    <r>
      <rPr>
        <b/>
        <i/>
        <sz val="8"/>
        <rFont val="Times New Roman"/>
        <family val="1"/>
      </rPr>
      <t xml:space="preserve"> +  R</t>
    </r>
    <r>
      <rPr>
        <b/>
        <i/>
        <vertAlign val="subscript"/>
        <sz val="8"/>
        <rFont val="Times New Roman"/>
        <family val="1"/>
      </rPr>
      <t>A2</t>
    </r>
  </si>
  <si>
    <r>
      <t>V</t>
    </r>
    <r>
      <rPr>
        <b/>
        <i/>
        <vertAlign val="subscript"/>
        <sz val="8"/>
        <rFont val="Times New Roman"/>
        <family val="1"/>
      </rPr>
      <t>A</t>
    </r>
  </si>
  <si>
    <r>
      <t>-V</t>
    </r>
    <r>
      <rPr>
        <b/>
        <i/>
        <vertAlign val="subscript"/>
        <sz val="8"/>
        <rFont val="Times New Roman"/>
        <family val="1"/>
      </rPr>
      <t>B</t>
    </r>
  </si>
  <si>
    <r>
      <t>M</t>
    </r>
    <r>
      <rPr>
        <b/>
        <i/>
        <vertAlign val="subscript"/>
        <sz val="8"/>
        <rFont val="Times New Roman"/>
        <family val="1"/>
      </rPr>
      <t>W.L 1</t>
    </r>
  </si>
  <si>
    <r>
      <t>M</t>
    </r>
    <r>
      <rPr>
        <b/>
        <i/>
        <vertAlign val="subscript"/>
        <sz val="8"/>
        <rFont val="Times New Roman"/>
        <family val="1"/>
      </rPr>
      <t>W.L 2</t>
    </r>
  </si>
  <si>
    <r>
      <t>M</t>
    </r>
    <r>
      <rPr>
        <b/>
        <i/>
        <vertAlign val="subscript"/>
        <sz val="8"/>
        <rFont val="Times New Roman"/>
        <family val="1"/>
      </rPr>
      <t>1</t>
    </r>
  </si>
  <si>
    <r>
      <t>( w</t>
    </r>
    <r>
      <rPr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</t>
    </r>
    <r>
      <rPr>
        <sz val="8"/>
        <rFont val="바탕"/>
        <family val="1"/>
        <charset val="129"/>
      </rPr>
      <t>×</t>
    </r>
    <r>
      <rPr>
        <sz val="8"/>
        <rFont val="Times New Roman"/>
        <family val="1"/>
      </rPr>
      <t xml:space="preserve"> 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 ) / 12</t>
    </r>
  </si>
  <si>
    <r>
      <t>w</t>
    </r>
    <r>
      <rPr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(  3L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- 4a</t>
    </r>
    <r>
      <rPr>
        <sz val="8"/>
        <rFont val="바탕"/>
        <family val="1"/>
        <charset val="129"/>
      </rPr>
      <t>₁²</t>
    </r>
    <r>
      <rPr>
        <sz val="8"/>
        <rFont val="Times New Roman"/>
        <family val="1"/>
      </rPr>
      <t xml:space="preserve"> ) / 24</t>
    </r>
  </si>
  <si>
    <r>
      <t>M</t>
    </r>
    <r>
      <rPr>
        <b/>
        <i/>
        <vertAlign val="subscript"/>
        <sz val="8"/>
        <rFont val="Times New Roman"/>
        <family val="1"/>
      </rPr>
      <t>2</t>
    </r>
  </si>
  <si>
    <r>
      <t>( w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</t>
    </r>
    <r>
      <rPr>
        <sz val="8"/>
        <rFont val="바탕"/>
        <family val="1"/>
        <charset val="129"/>
      </rPr>
      <t>×</t>
    </r>
    <r>
      <rPr>
        <sz val="8"/>
        <rFont val="Times New Roman"/>
        <family val="1"/>
      </rPr>
      <t xml:space="preserve"> 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 ) / 12</t>
    </r>
  </si>
  <si>
    <r>
      <t>M</t>
    </r>
    <r>
      <rPr>
        <b/>
        <i/>
        <vertAlign val="subscript"/>
        <sz val="8"/>
        <rFont val="Times New Roman"/>
        <family val="1"/>
      </rPr>
      <t>W.L 1</t>
    </r>
    <r>
      <rPr>
        <b/>
        <i/>
        <sz val="8"/>
        <rFont val="Times New Roman"/>
        <family val="1"/>
      </rPr>
      <t xml:space="preserve"> +  M</t>
    </r>
    <r>
      <rPr>
        <b/>
        <i/>
        <vertAlign val="subscript"/>
        <sz val="8"/>
        <rFont val="Times New Roman"/>
        <family val="1"/>
      </rPr>
      <t>W.L 2</t>
    </r>
  </si>
  <si>
    <r>
      <t>w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(  3L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- 4a</t>
    </r>
    <r>
      <rPr>
        <sz val="8"/>
        <rFont val="바탕"/>
        <family val="1"/>
        <charset val="129"/>
      </rPr>
      <t>₂²</t>
    </r>
    <r>
      <rPr>
        <sz val="8"/>
        <rFont val="Times New Roman"/>
        <family val="1"/>
      </rPr>
      <t xml:space="preserve"> ) / 24</t>
    </r>
  </si>
  <si>
    <r>
      <t>δ</t>
    </r>
    <r>
      <rPr>
        <b/>
        <i/>
        <vertAlign val="subscript"/>
        <sz val="8"/>
        <rFont val="Times New Roman"/>
        <family val="1"/>
      </rPr>
      <t>1</t>
    </r>
  </si>
  <si>
    <r>
      <t>δ</t>
    </r>
    <r>
      <rPr>
        <b/>
        <i/>
        <vertAlign val="subscript"/>
        <sz val="8"/>
        <rFont val="Times New Roman"/>
        <family val="1"/>
      </rPr>
      <t>2</t>
    </r>
  </si>
  <si>
    <r>
      <t>( w</t>
    </r>
    <r>
      <rPr>
        <sz val="8"/>
        <rFont val="바탕"/>
        <family val="1"/>
        <charset val="129"/>
      </rPr>
      <t>₁×</t>
    </r>
    <r>
      <rPr>
        <sz val="8"/>
        <rFont val="Times New Roman"/>
        <family val="1"/>
      </rPr>
      <t xml:space="preserve"> L</t>
    </r>
    <r>
      <rPr>
        <sz val="8"/>
        <rFont val="바탕"/>
        <family val="1"/>
        <charset val="129"/>
      </rPr>
      <t>⁴</t>
    </r>
    <r>
      <rPr>
        <sz val="8"/>
        <rFont val="Times New Roman"/>
        <family val="1"/>
      </rPr>
      <t xml:space="preserve"> ) / 120 EI</t>
    </r>
  </si>
  <si>
    <r>
      <t>w</t>
    </r>
    <r>
      <rPr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( 5L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- 4a</t>
    </r>
    <r>
      <rPr>
        <sz val="8"/>
        <rFont val="바탕"/>
        <family val="1"/>
        <charset val="129"/>
      </rPr>
      <t>₁²</t>
    </r>
    <r>
      <rPr>
        <sz val="8"/>
        <rFont val="Times New Roman"/>
        <family val="1"/>
      </rPr>
      <t xml:space="preserve"> )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/ 1920EI</t>
    </r>
  </si>
  <si>
    <r>
      <t>( w</t>
    </r>
    <r>
      <rPr>
        <sz val="8"/>
        <rFont val="바탕"/>
        <family val="1"/>
        <charset val="129"/>
      </rPr>
      <t>₂×</t>
    </r>
    <r>
      <rPr>
        <sz val="8"/>
        <rFont val="Times New Roman"/>
        <family val="1"/>
      </rPr>
      <t xml:space="preserve"> L</t>
    </r>
    <r>
      <rPr>
        <sz val="8"/>
        <rFont val="바탕"/>
        <family val="1"/>
        <charset val="129"/>
      </rPr>
      <t>⁴</t>
    </r>
    <r>
      <rPr>
        <sz val="8"/>
        <rFont val="Times New Roman"/>
        <family val="1"/>
      </rPr>
      <t xml:space="preserve"> ) / 120 EI</t>
    </r>
  </si>
  <si>
    <r>
      <t>δ</t>
    </r>
    <r>
      <rPr>
        <b/>
        <i/>
        <vertAlign val="subscript"/>
        <sz val="8"/>
        <rFont val="Times New Roman"/>
        <family val="1"/>
      </rPr>
      <t>1</t>
    </r>
    <r>
      <rPr>
        <b/>
        <i/>
        <sz val="8"/>
        <rFont val="Times New Roman"/>
        <family val="1"/>
      </rPr>
      <t xml:space="preserve"> +  δ</t>
    </r>
    <r>
      <rPr>
        <b/>
        <i/>
        <vertAlign val="subscript"/>
        <sz val="8"/>
        <rFont val="Times New Roman"/>
        <family val="1"/>
      </rPr>
      <t>2</t>
    </r>
  </si>
  <si>
    <r>
      <t>w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( 5L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- 4a</t>
    </r>
    <r>
      <rPr>
        <sz val="8"/>
        <rFont val="바탕"/>
        <family val="1"/>
        <charset val="129"/>
      </rPr>
      <t>₂²</t>
    </r>
    <r>
      <rPr>
        <sz val="8"/>
        <rFont val="Times New Roman"/>
        <family val="1"/>
      </rPr>
      <t xml:space="preserve"> )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/ 1920EI</t>
    </r>
  </si>
  <si>
    <t>4) BENDING STRESS CHECK</t>
    <phoneticPr fontId="2" type="noConversion"/>
  </si>
  <si>
    <t>6063-</t>
    <phoneticPr fontId="2" type="noConversion"/>
  </si>
  <si>
    <t>-. Tubular Shapes</t>
    <phoneticPr fontId="2" type="noConversion"/>
  </si>
  <si>
    <t>F.3.1</t>
    <phoneticPr fontId="2" type="noConversion"/>
  </si>
  <si>
    <t>#.</t>
    <phoneticPr fontId="2" type="noConversion"/>
  </si>
  <si>
    <t xml:space="preserve">STEP. 1 </t>
    <phoneticPr fontId="2" type="noConversion"/>
  </si>
  <si>
    <t>STEP. 3</t>
    <phoneticPr fontId="2" type="noConversion"/>
  </si>
  <si>
    <r>
      <t>L</t>
    </r>
    <r>
      <rPr>
        <b/>
        <i/>
        <vertAlign val="subscript"/>
        <sz val="8"/>
        <rFont val="Times New Roman"/>
        <family val="1"/>
      </rPr>
      <t>b</t>
    </r>
  </si>
  <si>
    <t>mm</t>
    <phoneticPr fontId="3" type="noConversion"/>
  </si>
  <si>
    <r>
      <t>2*L</t>
    </r>
    <r>
      <rPr>
        <b/>
        <i/>
        <vertAlign val="subscript"/>
        <sz val="8"/>
        <rFont val="Times New Roman"/>
        <family val="1"/>
      </rPr>
      <t>b</t>
    </r>
    <r>
      <rPr>
        <b/>
        <i/>
        <sz val="8"/>
        <rFont val="Times New Roman"/>
        <family val="1"/>
      </rPr>
      <t>S</t>
    </r>
    <r>
      <rPr>
        <b/>
        <i/>
        <vertAlign val="subscript"/>
        <sz val="8"/>
        <rFont val="Times New Roman"/>
        <family val="1"/>
      </rPr>
      <t>X</t>
    </r>
  </si>
  <si>
    <t>S  ≤  S₁</t>
    <phoneticPr fontId="2" type="noConversion"/>
  </si>
  <si>
    <r>
      <t>S</t>
    </r>
    <r>
      <rPr>
        <b/>
        <vertAlign val="subscript"/>
        <sz val="8"/>
        <rFont val="한컴바탕"/>
        <family val="1"/>
        <charset val="129"/>
      </rPr>
      <t>1</t>
    </r>
  </si>
  <si>
    <r>
      <t>S</t>
    </r>
    <r>
      <rPr>
        <b/>
        <vertAlign val="subscript"/>
        <sz val="8"/>
        <rFont val="한컴바탕"/>
        <family val="1"/>
        <charset val="129"/>
      </rPr>
      <t>2</t>
    </r>
  </si>
  <si>
    <r>
      <rPr>
        <b/>
        <i/>
        <sz val="8"/>
        <rFont val="한컴돋움"/>
        <family val="1"/>
        <charset val="129"/>
      </rPr>
      <t>√</t>
    </r>
    <r>
      <rPr>
        <b/>
        <i/>
        <sz val="8"/>
        <rFont val="Times New Roman"/>
        <family val="1"/>
      </rPr>
      <t>I</t>
    </r>
    <r>
      <rPr>
        <b/>
        <i/>
        <vertAlign val="subscript"/>
        <sz val="8"/>
        <rFont val="Times New Roman"/>
        <family val="1"/>
      </rPr>
      <t>Y</t>
    </r>
    <r>
      <rPr>
        <b/>
        <i/>
        <sz val="8"/>
        <rFont val="Times New Roman"/>
        <family val="1"/>
      </rPr>
      <t>J</t>
    </r>
  </si>
  <si>
    <t>S₁</t>
    <phoneticPr fontId="2" type="noConversion"/>
  </si>
  <si>
    <r>
      <t>mm</t>
    </r>
    <r>
      <rPr>
        <b/>
        <vertAlign val="superscript"/>
        <sz val="8"/>
        <rFont val="한컴돋움"/>
        <family val="1"/>
        <charset val="129"/>
      </rPr>
      <t>3</t>
    </r>
  </si>
  <si>
    <t>S₁&lt;  S  &lt; S₂</t>
    <phoneticPr fontId="2" type="noConversion"/>
  </si>
  <si>
    <t>STEP. 2</t>
    <phoneticPr fontId="2" type="noConversion"/>
  </si>
  <si>
    <t>S₂</t>
    <phoneticPr fontId="2" type="noConversion"/>
  </si>
  <si>
    <t>S</t>
    <phoneticPr fontId="2" type="noConversion"/>
  </si>
  <si>
    <r>
      <t>F</t>
    </r>
    <r>
      <rPr>
        <b/>
        <i/>
        <vertAlign val="subscript"/>
        <sz val="8"/>
        <rFont val="Times New Roman"/>
        <family val="1"/>
      </rPr>
      <t>b1</t>
    </r>
  </si>
  <si>
    <t>S  ≥  S₂</t>
    <phoneticPr fontId="2" type="noConversion"/>
  </si>
  <si>
    <t xml:space="preserve">-. Flat Elements Supported On Both Edges </t>
    <phoneticPr fontId="2" type="noConversion"/>
  </si>
  <si>
    <t>B.5.4.2</t>
    <phoneticPr fontId="2" type="noConversion"/>
  </si>
  <si>
    <t>b  /  t</t>
    <phoneticPr fontId="2" type="noConversion"/>
  </si>
  <si>
    <r>
      <t>F</t>
    </r>
    <r>
      <rPr>
        <b/>
        <i/>
        <vertAlign val="subscript"/>
        <sz val="8"/>
        <rFont val="Times New Roman"/>
        <family val="1"/>
      </rPr>
      <t>b2</t>
    </r>
  </si>
  <si>
    <t>B.5.5.1</t>
    <phoneticPr fontId="2" type="noConversion"/>
  </si>
  <si>
    <t>h</t>
    <phoneticPr fontId="2" type="noConversion"/>
  </si>
  <si>
    <t>h  /  t</t>
    <phoneticPr fontId="2" type="noConversion"/>
  </si>
  <si>
    <r>
      <t>F</t>
    </r>
    <r>
      <rPr>
        <b/>
        <i/>
        <vertAlign val="subscript"/>
        <sz val="8"/>
        <rFont val="Times New Roman"/>
        <family val="1"/>
      </rPr>
      <t>b3</t>
    </r>
  </si>
  <si>
    <t>-. Calculate Actual Stress</t>
    <phoneticPr fontId="2" type="noConversion"/>
  </si>
  <si>
    <t xml:space="preserve">   /</t>
    <phoneticPr fontId="2" type="noConversion"/>
  </si>
  <si>
    <t>Determine Allowable Stress</t>
    <phoneticPr fontId="2" type="noConversion"/>
  </si>
  <si>
    <r>
      <t>f</t>
    </r>
    <r>
      <rPr>
        <b/>
        <i/>
        <vertAlign val="subscript"/>
        <sz val="8"/>
        <rFont val="Times New Roman"/>
        <family val="1"/>
      </rPr>
      <t>b</t>
    </r>
  </si>
  <si>
    <r>
      <t>M</t>
    </r>
    <r>
      <rPr>
        <b/>
        <i/>
        <vertAlign val="subscript"/>
        <sz val="8"/>
        <rFont val="Times New Roman"/>
        <family val="1"/>
      </rPr>
      <t>D.L</t>
    </r>
    <r>
      <rPr>
        <b/>
        <i/>
        <sz val="8"/>
        <rFont val="Times New Roman"/>
        <family val="1"/>
      </rPr>
      <t xml:space="preserve">  /  S</t>
    </r>
    <r>
      <rPr>
        <b/>
        <i/>
        <vertAlign val="subscript"/>
        <sz val="8"/>
        <rFont val="Times New Roman"/>
        <family val="1"/>
      </rPr>
      <t>X</t>
    </r>
  </si>
  <si>
    <r>
      <t>F</t>
    </r>
    <r>
      <rPr>
        <b/>
        <i/>
        <vertAlign val="subscript"/>
        <sz val="8"/>
        <rFont val="Times New Roman"/>
        <family val="1"/>
      </rPr>
      <t>b</t>
    </r>
  </si>
  <si>
    <r>
      <t>MIN ( F</t>
    </r>
    <r>
      <rPr>
        <b/>
        <i/>
        <vertAlign val="subscript"/>
        <sz val="8"/>
        <rFont val="Times New Roman"/>
        <family val="1"/>
      </rPr>
      <t>b1</t>
    </r>
    <r>
      <rPr>
        <b/>
        <i/>
        <sz val="8"/>
        <rFont val="Times New Roman"/>
        <family val="1"/>
      </rPr>
      <t xml:space="preserve"> , F</t>
    </r>
    <r>
      <rPr>
        <b/>
        <i/>
        <vertAlign val="subscript"/>
        <sz val="8"/>
        <rFont val="Times New Roman"/>
        <family val="1"/>
      </rPr>
      <t>b2</t>
    </r>
    <r>
      <rPr>
        <b/>
        <i/>
        <sz val="8"/>
        <rFont val="Times New Roman"/>
        <family val="1"/>
      </rPr>
      <t xml:space="preserve"> , F</t>
    </r>
    <r>
      <rPr>
        <b/>
        <i/>
        <vertAlign val="subscript"/>
        <sz val="8"/>
        <rFont val="Times New Roman"/>
        <family val="1"/>
      </rPr>
      <t>b3</t>
    </r>
    <r>
      <rPr>
        <b/>
        <i/>
        <sz val="8"/>
        <rFont val="Times New Roman"/>
        <family val="1"/>
      </rPr>
      <t xml:space="preserve"> )</t>
    </r>
  </si>
  <si>
    <t>-. Check Stress Stability</t>
    <phoneticPr fontId="2" type="noConversion"/>
  </si>
  <si>
    <r>
      <t>f</t>
    </r>
    <r>
      <rPr>
        <b/>
        <i/>
        <vertAlign val="subscript"/>
        <sz val="8"/>
        <rFont val="Times New Roman"/>
        <family val="1"/>
      </rPr>
      <t>b</t>
    </r>
    <r>
      <rPr>
        <b/>
        <i/>
        <sz val="8"/>
        <rFont val="Times New Roman"/>
        <family val="1"/>
      </rPr>
      <t xml:space="preserve">  /  F</t>
    </r>
    <r>
      <rPr>
        <b/>
        <i/>
        <vertAlign val="subscript"/>
        <sz val="8"/>
        <rFont val="Times New Roman"/>
        <family val="1"/>
      </rPr>
      <t>b</t>
    </r>
  </si>
  <si>
    <r>
      <t>2*L</t>
    </r>
    <r>
      <rPr>
        <b/>
        <i/>
        <vertAlign val="subscript"/>
        <sz val="8"/>
        <rFont val="Times New Roman"/>
        <family val="1"/>
      </rPr>
      <t>b</t>
    </r>
    <r>
      <rPr>
        <b/>
        <i/>
        <sz val="8"/>
        <rFont val="Times New Roman"/>
        <family val="1"/>
      </rPr>
      <t>S</t>
    </r>
    <r>
      <rPr>
        <b/>
        <i/>
        <vertAlign val="subscript"/>
        <sz val="8"/>
        <rFont val="Times New Roman"/>
        <family val="1"/>
      </rPr>
      <t>Y</t>
    </r>
  </si>
  <si>
    <r>
      <rPr>
        <b/>
        <i/>
        <sz val="8"/>
        <rFont val="한컴돋움"/>
        <family val="1"/>
        <charset val="129"/>
      </rPr>
      <t>√</t>
    </r>
    <r>
      <rPr>
        <b/>
        <i/>
        <sz val="8"/>
        <rFont val="Times New Roman"/>
        <family val="1"/>
      </rPr>
      <t>I</t>
    </r>
    <r>
      <rPr>
        <b/>
        <i/>
        <vertAlign val="subscript"/>
        <sz val="8"/>
        <rFont val="Times New Roman"/>
        <family val="1"/>
      </rPr>
      <t>X</t>
    </r>
    <r>
      <rPr>
        <b/>
        <i/>
        <sz val="8"/>
        <rFont val="Times New Roman"/>
        <family val="1"/>
      </rPr>
      <t>J</t>
    </r>
  </si>
  <si>
    <r>
      <t>0.85*M</t>
    </r>
    <r>
      <rPr>
        <b/>
        <i/>
        <vertAlign val="subscript"/>
        <sz val="8"/>
        <rFont val="Times New Roman"/>
        <family val="1"/>
      </rPr>
      <t>W.L</t>
    </r>
    <r>
      <rPr>
        <b/>
        <i/>
        <sz val="8"/>
        <rFont val="Times New Roman"/>
        <family val="1"/>
      </rPr>
      <t xml:space="preserve">  /  S</t>
    </r>
    <r>
      <rPr>
        <b/>
        <i/>
        <vertAlign val="subscript"/>
        <sz val="8"/>
        <rFont val="Times New Roman"/>
        <family val="1"/>
      </rPr>
      <t>Y</t>
    </r>
  </si>
  <si>
    <t>(3) COMBINE STRESS STABILITY</t>
    <phoneticPr fontId="3" type="noConversion"/>
  </si>
  <si>
    <t>+</t>
    <phoneticPr fontId="2" type="noConversion"/>
  </si>
  <si>
    <t xml:space="preserve">5) DEFLECTION CHECK </t>
    <phoneticPr fontId="3" type="noConversion"/>
  </si>
  <si>
    <t>-. Actual Deflection</t>
    <phoneticPr fontId="3" type="noConversion"/>
  </si>
  <si>
    <r>
      <t>δ</t>
    </r>
    <r>
      <rPr>
        <b/>
        <i/>
        <vertAlign val="subscript"/>
        <sz val="8"/>
        <rFont val="Times New Roman"/>
        <family val="1"/>
      </rPr>
      <t>MAX</t>
    </r>
  </si>
  <si>
    <t>-. Allowable Deflection</t>
    <phoneticPr fontId="3" type="noConversion"/>
  </si>
  <si>
    <t>&lt; AAMA MCWM-1-89 &gt;</t>
    <phoneticPr fontId="2" type="noConversion"/>
  </si>
  <si>
    <r>
      <t>δ</t>
    </r>
    <r>
      <rPr>
        <b/>
        <i/>
        <vertAlign val="subscript"/>
        <sz val="8"/>
        <rFont val="Times New Roman"/>
        <family val="1"/>
      </rPr>
      <t>Allow</t>
    </r>
  </si>
  <si>
    <t>( 1 / 16" : Open Window )</t>
    <phoneticPr fontId="2" type="noConversion"/>
  </si>
  <si>
    <t>( 1 / 8" : Fix Window )</t>
    <phoneticPr fontId="2" type="noConversion"/>
  </si>
  <si>
    <t>-. Check Deflection Stability</t>
    <phoneticPr fontId="2" type="noConversion"/>
  </si>
  <si>
    <r>
      <t>δ</t>
    </r>
    <r>
      <rPr>
        <b/>
        <i/>
        <vertAlign val="subscript"/>
        <sz val="8"/>
        <rFont val="Times New Roman"/>
        <family val="1"/>
      </rPr>
      <t xml:space="preserve">MAX  </t>
    </r>
    <r>
      <rPr>
        <b/>
        <i/>
        <sz val="8"/>
        <rFont val="Times New Roman"/>
        <family val="1"/>
      </rPr>
      <t>/  δ</t>
    </r>
    <r>
      <rPr>
        <b/>
        <i/>
        <vertAlign val="subscript"/>
        <sz val="8"/>
        <rFont val="Times New Roman"/>
        <family val="1"/>
      </rPr>
      <t>Allow</t>
    </r>
  </si>
  <si>
    <t>&lt; AAMA TIR-A11-04 &gt;</t>
    <phoneticPr fontId="2" type="noConversion"/>
  </si>
  <si>
    <t>L &gt; 4110</t>
    <phoneticPr fontId="2" type="noConversion"/>
  </si>
  <si>
    <t>L ≤4110</t>
    <phoneticPr fontId="2" type="noConversion"/>
  </si>
  <si>
    <t>삼각+사다리</t>
    <phoneticPr fontId="2" type="noConversion"/>
  </si>
  <si>
    <t>사다리+삼각</t>
    <phoneticPr fontId="2" type="noConversion"/>
  </si>
  <si>
    <t>사다리+사다리</t>
    <phoneticPr fontId="2" type="noConversion"/>
  </si>
  <si>
    <t>삼각+삼각</t>
    <phoneticPr fontId="2" type="noConversion"/>
  </si>
  <si>
    <t>N.mm</t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</si>
  <si>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Modulus of Elasticity , SS 275 </t>
    </r>
    <r>
      <rPr>
        <b/>
        <sz val="9"/>
        <rFont val="Times New Roman"/>
        <family val="1"/>
      </rPr>
      <t>)</t>
    </r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</si>
  <si>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Modulus of Elasticity , STS 304 </t>
    </r>
    <r>
      <rPr>
        <b/>
        <sz val="9"/>
        <rFont val="Times New Roman"/>
        <family val="1"/>
      </rPr>
      <t>)</t>
    </r>
  </si>
  <si>
    <t>STS 304  Yield Strength</t>
  </si>
  <si>
    <t>( STS 304 )</t>
  </si>
  <si>
    <t>( STS 304  Yield Strength )</t>
  </si>
  <si>
    <t>( SS 275  Yield Strength )</t>
  </si>
  <si>
    <t>( SS 275 )</t>
  </si>
  <si>
    <t>B</t>
    <phoneticPr fontId="2" type="noConversion"/>
  </si>
  <si>
    <r>
      <t>mm</t>
    </r>
    <r>
      <rPr>
        <b/>
        <vertAlign val="superscript"/>
        <sz val="8"/>
        <rFont val="한컴돋움"/>
        <family val="1"/>
        <charset val="129"/>
      </rPr>
      <t>4</t>
    </r>
    <r>
      <rPr>
        <b/>
        <sz val="8"/>
        <rFont val="한컴돋움"/>
        <family val="1"/>
        <charset val="129"/>
      </rPr>
      <t xml:space="preserve"> </t>
    </r>
  </si>
  <si>
    <r>
      <t>mm</t>
    </r>
    <r>
      <rPr>
        <b/>
        <vertAlign val="superscript"/>
        <sz val="8"/>
        <rFont val="한컴돋움"/>
        <family val="1"/>
        <charset val="129"/>
      </rPr>
      <t>3</t>
    </r>
    <r>
      <rPr>
        <b/>
        <sz val="8"/>
        <rFont val="한컴돋움"/>
        <family val="1"/>
        <charset val="129"/>
      </rPr>
      <t xml:space="preserve"> </t>
    </r>
  </si>
  <si>
    <t xml:space="preserve">h </t>
    <phoneticPr fontId="2" type="noConversion"/>
  </si>
  <si>
    <t xml:space="preserve">b </t>
    <phoneticPr fontId="2" type="noConversion"/>
  </si>
  <si>
    <t>A</t>
  </si>
  <si>
    <t>X</t>
  </si>
  <si>
    <t>Y</t>
  </si>
  <si>
    <r>
      <t xml:space="preserve">90,0000 /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 xml:space="preserve"> * H / A</t>
    </r>
    <r>
      <rPr>
        <b/>
        <i/>
        <vertAlign val="subscript"/>
        <sz val="9"/>
        <rFont val="Times New Roman"/>
        <family val="1"/>
      </rPr>
      <t>f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</si>
  <si>
    <r>
      <t xml:space="preserve">대한건축학회, </t>
    </r>
    <r>
      <rPr>
        <b/>
        <sz val="9"/>
        <color rgb="FF0000FF"/>
        <rFont val="한컴돋움"/>
        <family val="1"/>
        <charset val="129"/>
      </rPr>
      <t>『 건축구조기준 설계하중 KDS 41 10 15 : 2019 』</t>
    </r>
    <r>
      <rPr>
        <b/>
        <sz val="9"/>
        <rFont val="한컴돋움"/>
        <family val="1"/>
        <charset val="129"/>
      </rPr>
      <t>에 의거함</t>
    </r>
  </si>
  <si>
    <t>완전 TYPE 상황</t>
    <phoneticPr fontId="0" type="noConversion"/>
  </si>
  <si>
    <t>형상입력</t>
    <phoneticPr fontId="0" type="noConversion"/>
  </si>
  <si>
    <t>L</t>
    <phoneticPr fontId="0" type="noConversion"/>
  </si>
  <si>
    <t>(1) INPUT DATA</t>
    <phoneticPr fontId="0" type="noConversion"/>
  </si>
  <si>
    <t>입력 : L, U</t>
    <phoneticPr fontId="0" type="noConversion"/>
  </si>
  <si>
    <t>=</t>
    <phoneticPr fontId="0" type="noConversion"/>
  </si>
  <si>
    <t>kN</t>
    <phoneticPr fontId="0" type="noConversion"/>
  </si>
  <si>
    <r>
      <t>e</t>
    </r>
    <r>
      <rPr>
        <b/>
        <i/>
        <vertAlign val="subscript"/>
        <sz val="8"/>
        <rFont val="Times New Roman"/>
        <family val="1"/>
      </rPr>
      <t>1</t>
    </r>
  </si>
  <si>
    <t>mm</t>
    <phoneticPr fontId="0" type="noConversion"/>
  </si>
  <si>
    <t>써머리</t>
    <phoneticPr fontId="0" type="noConversion"/>
  </si>
  <si>
    <r>
      <t>e</t>
    </r>
    <r>
      <rPr>
        <b/>
        <i/>
        <vertAlign val="subscript"/>
        <sz val="8"/>
        <rFont val="Times New Roman"/>
        <family val="1"/>
      </rPr>
      <t>2</t>
    </r>
  </si>
  <si>
    <t>RATIO</t>
    <phoneticPr fontId="0" type="noConversion"/>
  </si>
  <si>
    <t>n</t>
    <phoneticPr fontId="0" type="noConversion"/>
  </si>
  <si>
    <t>EA</t>
    <phoneticPr fontId="0" type="noConversion"/>
  </si>
  <si>
    <t>DATA</t>
    <phoneticPr fontId="0" type="noConversion"/>
  </si>
  <si>
    <t>b</t>
    <phoneticPr fontId="0" type="noConversion"/>
  </si>
  <si>
    <t>( Thickness )</t>
    <phoneticPr fontId="0" type="noConversion"/>
  </si>
  <si>
    <t>h</t>
    <phoneticPr fontId="0" type="noConversion"/>
  </si>
  <si>
    <t>( Length )</t>
    <phoneticPr fontId="0" type="noConversion"/>
  </si>
  <si>
    <r>
      <t>L</t>
    </r>
    <r>
      <rPr>
        <b/>
        <i/>
        <vertAlign val="subscript"/>
        <sz val="8"/>
        <rFont val="Times New Roman"/>
        <family val="1"/>
      </rPr>
      <t>1</t>
    </r>
  </si>
  <si>
    <t>( Size 1 )</t>
    <phoneticPr fontId="0" type="noConversion"/>
  </si>
  <si>
    <r>
      <t>L</t>
    </r>
    <r>
      <rPr>
        <b/>
        <i/>
        <vertAlign val="subscript"/>
        <sz val="8"/>
        <rFont val="Times New Roman"/>
        <family val="1"/>
      </rPr>
      <t>2</t>
    </r>
  </si>
  <si>
    <t>( Size 2 )</t>
    <phoneticPr fontId="0" type="noConversion"/>
  </si>
  <si>
    <r>
      <t>M</t>
    </r>
    <r>
      <rPr>
        <b/>
        <i/>
        <vertAlign val="subscript"/>
        <sz val="8"/>
        <rFont val="Times New Roman"/>
        <family val="1"/>
      </rPr>
      <t>Y</t>
    </r>
  </si>
  <si>
    <t>사진</t>
    <phoneticPr fontId="0" type="noConversion"/>
  </si>
  <si>
    <t>CASE 1</t>
  </si>
  <si>
    <r>
      <t>M</t>
    </r>
    <r>
      <rPr>
        <b/>
        <i/>
        <vertAlign val="subscript"/>
        <sz val="8"/>
        <rFont val="Times New Roman"/>
        <family val="1"/>
      </rPr>
      <t>X</t>
    </r>
  </si>
  <si>
    <r>
      <t>M</t>
    </r>
    <r>
      <rPr>
        <b/>
        <i/>
        <vertAlign val="subscript"/>
        <sz val="8"/>
        <rFont val="Times New Roman"/>
        <family val="1"/>
      </rPr>
      <t>Z</t>
    </r>
  </si>
  <si>
    <t xml:space="preserve">N.mm </t>
    <phoneticPr fontId="0" type="noConversion"/>
  </si>
  <si>
    <r>
      <t>( P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/ n )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e</t>
    </r>
    <r>
      <rPr>
        <b/>
        <i/>
        <vertAlign val="subscript"/>
        <sz val="8"/>
        <rFont val="Times New Roman"/>
        <family val="1"/>
      </rPr>
      <t>1</t>
    </r>
  </si>
  <si>
    <t>CASE 2</t>
  </si>
  <si>
    <r>
      <t>( P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/ n )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e</t>
    </r>
    <r>
      <rPr>
        <b/>
        <i/>
        <vertAlign val="subscript"/>
        <sz val="8"/>
        <rFont val="Times New Roman"/>
        <family val="1"/>
      </rPr>
      <t>2</t>
    </r>
  </si>
  <si>
    <t>CASE 3</t>
  </si>
  <si>
    <t>CASE 4</t>
  </si>
  <si>
    <t>A</t>
    <phoneticPr fontId="0" type="noConversion"/>
  </si>
  <si>
    <t>J</t>
  </si>
  <si>
    <t>(3) ACTUAL STRESS</t>
    <phoneticPr fontId="0" type="noConversion"/>
  </si>
  <si>
    <r>
      <t>F</t>
    </r>
    <r>
      <rPr>
        <b/>
        <i/>
        <vertAlign val="subscript"/>
        <sz val="8"/>
        <rFont val="Times New Roman"/>
        <family val="1"/>
      </rPr>
      <t>y</t>
    </r>
  </si>
  <si>
    <r>
      <t>N/mm</t>
    </r>
    <r>
      <rPr>
        <b/>
        <vertAlign val="superscript"/>
        <sz val="8"/>
        <rFont val="한컴돋움"/>
        <family val="1"/>
        <charset val="129"/>
      </rPr>
      <t>2</t>
    </r>
    <r>
      <rPr>
        <b/>
        <sz val="8"/>
        <rFont val="한컴돋움"/>
        <family val="1"/>
        <charset val="129"/>
      </rPr>
      <t xml:space="preserve">  </t>
    </r>
  </si>
  <si>
    <r>
      <t>f</t>
    </r>
    <r>
      <rPr>
        <b/>
        <i/>
        <vertAlign val="subscript"/>
        <sz val="8"/>
        <rFont val="Times New Roman"/>
        <family val="1"/>
      </rPr>
      <t>b1 weak</t>
    </r>
  </si>
  <si>
    <r>
      <t>M</t>
    </r>
    <r>
      <rPr>
        <b/>
        <i/>
        <vertAlign val="subscript"/>
        <sz val="8"/>
        <rFont val="Times New Roman"/>
        <family val="1"/>
      </rPr>
      <t>Y</t>
    </r>
    <r>
      <rPr>
        <b/>
        <i/>
        <sz val="8"/>
        <rFont val="Times New Roman"/>
        <family val="1"/>
      </rPr>
      <t xml:space="preserve"> / S</t>
    </r>
    <r>
      <rPr>
        <b/>
        <i/>
        <vertAlign val="subscript"/>
        <sz val="8"/>
        <rFont val="Times New Roman"/>
        <family val="1"/>
      </rPr>
      <t xml:space="preserve">Y </t>
    </r>
  </si>
  <si>
    <r>
      <t>F</t>
    </r>
    <r>
      <rPr>
        <b/>
        <i/>
        <vertAlign val="subscript"/>
        <sz val="8"/>
        <rFont val="Times New Roman"/>
        <family val="1"/>
      </rPr>
      <t>b1 Weak</t>
    </r>
  </si>
  <si>
    <r>
      <t>0.75 × F</t>
    </r>
    <r>
      <rPr>
        <b/>
        <i/>
        <vertAlign val="subscript"/>
        <sz val="8"/>
        <rFont val="Times New Roman"/>
        <family val="1"/>
      </rPr>
      <t>y</t>
    </r>
  </si>
  <si>
    <r>
      <t>f</t>
    </r>
    <r>
      <rPr>
        <b/>
        <i/>
        <vertAlign val="subscript"/>
        <sz val="8"/>
        <rFont val="Times New Roman"/>
        <family val="1"/>
      </rPr>
      <t>b2 Strong</t>
    </r>
  </si>
  <si>
    <r>
      <t>M</t>
    </r>
    <r>
      <rPr>
        <b/>
        <i/>
        <vertAlign val="subscript"/>
        <sz val="8"/>
        <rFont val="Times New Roman"/>
        <family val="1"/>
      </rPr>
      <t>X</t>
    </r>
    <r>
      <rPr>
        <b/>
        <i/>
        <sz val="8"/>
        <rFont val="Times New Roman"/>
        <family val="1"/>
      </rPr>
      <t xml:space="preserve"> / S</t>
    </r>
    <r>
      <rPr>
        <b/>
        <i/>
        <vertAlign val="subscript"/>
        <sz val="8"/>
        <rFont val="Times New Roman"/>
        <family val="1"/>
      </rPr>
      <t>X</t>
    </r>
  </si>
  <si>
    <r>
      <t>F</t>
    </r>
    <r>
      <rPr>
        <b/>
        <i/>
        <vertAlign val="subscript"/>
        <sz val="8"/>
        <rFont val="Times New Roman"/>
        <family val="1"/>
      </rPr>
      <t>b2 Strong</t>
    </r>
  </si>
  <si>
    <r>
      <t>0.6 × F</t>
    </r>
    <r>
      <rPr>
        <b/>
        <i/>
        <vertAlign val="subscript"/>
        <sz val="8"/>
        <rFont val="Times New Roman"/>
        <family val="1"/>
      </rPr>
      <t>y</t>
    </r>
  </si>
  <si>
    <r>
      <t>f</t>
    </r>
    <r>
      <rPr>
        <b/>
        <i/>
        <vertAlign val="subscript"/>
        <sz val="8"/>
        <rFont val="Times New Roman"/>
        <family val="1"/>
      </rPr>
      <t>t</t>
    </r>
  </si>
  <si>
    <t>None</t>
    <phoneticPr fontId="0" type="noConversion"/>
  </si>
  <si>
    <r>
      <t>F</t>
    </r>
    <r>
      <rPr>
        <b/>
        <i/>
        <vertAlign val="subscript"/>
        <sz val="8"/>
        <rFont val="Times New Roman"/>
        <family val="1"/>
      </rPr>
      <t>t</t>
    </r>
  </si>
  <si>
    <r>
      <t xml:space="preserve"> f</t>
    </r>
    <r>
      <rPr>
        <b/>
        <i/>
        <vertAlign val="subscript"/>
        <sz val="8"/>
        <rFont val="Times New Roman"/>
        <family val="1"/>
      </rPr>
      <t>v</t>
    </r>
    <r>
      <rPr>
        <b/>
        <i/>
        <sz val="8"/>
        <rFont val="맑은 고딕"/>
        <family val="3"/>
        <charset val="129"/>
      </rPr>
      <t xml:space="preserve"> 수식 수정</t>
    </r>
  </si>
  <si>
    <r>
      <t>f</t>
    </r>
    <r>
      <rPr>
        <b/>
        <i/>
        <vertAlign val="subscript"/>
        <sz val="8"/>
        <rFont val="Times New Roman"/>
        <family val="1"/>
      </rPr>
      <t>v</t>
    </r>
  </si>
  <si>
    <r>
      <t>F</t>
    </r>
    <r>
      <rPr>
        <b/>
        <i/>
        <vertAlign val="subscript"/>
        <sz val="8"/>
        <rFont val="Times New Roman"/>
        <family val="1"/>
      </rPr>
      <t>v</t>
    </r>
  </si>
  <si>
    <r>
      <t>0.4 × F</t>
    </r>
    <r>
      <rPr>
        <b/>
        <i/>
        <vertAlign val="subscript"/>
        <sz val="8"/>
        <rFont val="Times New Roman"/>
        <family val="1"/>
      </rPr>
      <t>y</t>
    </r>
  </si>
  <si>
    <r>
      <t>※ f</t>
    </r>
    <r>
      <rPr>
        <b/>
        <i/>
        <vertAlign val="subscript"/>
        <sz val="8"/>
        <rFont val="Times New Roman"/>
        <family val="1"/>
      </rPr>
      <t>z</t>
    </r>
    <r>
      <rPr>
        <b/>
        <i/>
        <sz val="8"/>
        <rFont val="Times New Roman"/>
        <family val="1"/>
      </rPr>
      <t xml:space="preserve"> / F</t>
    </r>
    <r>
      <rPr>
        <b/>
        <i/>
        <vertAlign val="subscript"/>
        <sz val="8"/>
        <rFont val="Times New Roman"/>
        <family val="1"/>
      </rPr>
      <t>z</t>
    </r>
    <r>
      <rPr>
        <b/>
        <i/>
        <sz val="8"/>
        <rFont val="Times New Roman"/>
        <family val="1"/>
      </rPr>
      <t xml:space="preserve"> ≤ 0.2, The torsional effects shall be neglected</t>
    </r>
  </si>
  <si>
    <t>(5) CHECK STRESS STABILITY</t>
    <phoneticPr fontId="0" type="noConversion"/>
  </si>
  <si>
    <r>
      <t>f</t>
    </r>
    <r>
      <rPr>
        <b/>
        <i/>
        <vertAlign val="subscript"/>
        <sz val="8"/>
        <rFont val="Times New Roman"/>
        <family val="1"/>
      </rPr>
      <t xml:space="preserve">t </t>
    </r>
    <r>
      <rPr>
        <b/>
        <i/>
        <sz val="8"/>
        <rFont val="Times New Roman"/>
        <family val="1"/>
      </rPr>
      <t>/ F</t>
    </r>
    <r>
      <rPr>
        <b/>
        <i/>
        <vertAlign val="subscript"/>
        <sz val="8"/>
        <rFont val="Times New Roman"/>
        <family val="1"/>
      </rPr>
      <t>t</t>
    </r>
    <r>
      <rPr>
        <b/>
        <i/>
        <sz val="8"/>
        <rFont val="Times New Roman"/>
        <family val="1"/>
      </rPr>
      <t xml:space="preserve"> + f</t>
    </r>
    <r>
      <rPr>
        <b/>
        <i/>
        <vertAlign val="subscript"/>
        <sz val="8"/>
        <rFont val="Times New Roman"/>
        <family val="1"/>
      </rPr>
      <t xml:space="preserve">b1 </t>
    </r>
    <r>
      <rPr>
        <b/>
        <i/>
        <sz val="8"/>
        <rFont val="Times New Roman"/>
        <family val="1"/>
      </rPr>
      <t>/ F</t>
    </r>
    <r>
      <rPr>
        <b/>
        <i/>
        <vertAlign val="subscript"/>
        <sz val="8"/>
        <rFont val="Times New Roman"/>
        <family val="1"/>
      </rPr>
      <t>b1</t>
    </r>
    <r>
      <rPr>
        <b/>
        <i/>
        <sz val="8"/>
        <rFont val="Times New Roman"/>
        <family val="1"/>
      </rPr>
      <t xml:space="preserve"> + f</t>
    </r>
    <r>
      <rPr>
        <b/>
        <i/>
        <vertAlign val="subscript"/>
        <sz val="8"/>
        <rFont val="Times New Roman"/>
        <family val="1"/>
      </rPr>
      <t xml:space="preserve">b2 </t>
    </r>
    <r>
      <rPr>
        <b/>
        <i/>
        <sz val="8"/>
        <rFont val="Times New Roman"/>
        <family val="1"/>
      </rPr>
      <t>/ F</t>
    </r>
    <r>
      <rPr>
        <b/>
        <i/>
        <vertAlign val="subscript"/>
        <sz val="8"/>
        <rFont val="Times New Roman"/>
        <family val="1"/>
      </rPr>
      <t>b2</t>
    </r>
    <r>
      <rPr>
        <b/>
        <i/>
        <sz val="8"/>
        <rFont val="Times New Roman"/>
        <family val="1"/>
        <charset val="129"/>
      </rPr>
      <t>+ ( f</t>
    </r>
    <r>
      <rPr>
        <b/>
        <i/>
        <vertAlign val="subscript"/>
        <sz val="8"/>
        <rFont val="Times New Roman"/>
        <family val="1"/>
      </rPr>
      <t xml:space="preserve">v </t>
    </r>
    <r>
      <rPr>
        <b/>
        <i/>
        <sz val="8"/>
        <rFont val="Times New Roman"/>
        <family val="1"/>
        <charset val="129"/>
      </rPr>
      <t>/ F</t>
    </r>
    <r>
      <rPr>
        <b/>
        <i/>
        <vertAlign val="subscript"/>
        <sz val="8"/>
        <rFont val="Times New Roman"/>
        <family val="1"/>
      </rPr>
      <t>v</t>
    </r>
    <r>
      <rPr>
        <b/>
        <i/>
        <sz val="8"/>
        <rFont val="Times New Roman"/>
        <family val="1"/>
        <charset val="129"/>
      </rPr>
      <t xml:space="preserve"> )</t>
    </r>
    <r>
      <rPr>
        <b/>
        <i/>
        <vertAlign val="superscript"/>
        <sz val="8"/>
        <rFont val="Times New Roman"/>
        <family val="1"/>
      </rPr>
      <t>2</t>
    </r>
  </si>
  <si>
    <r>
      <t>f</t>
    </r>
    <r>
      <rPr>
        <b/>
        <i/>
        <vertAlign val="subscript"/>
        <sz val="8"/>
        <rFont val="Times New Roman"/>
        <family val="1"/>
      </rPr>
      <t>v</t>
    </r>
    <r>
      <rPr>
        <b/>
        <i/>
        <sz val="8"/>
        <rFont val="Times New Roman"/>
        <family val="1"/>
      </rPr>
      <t xml:space="preserve"> / F</t>
    </r>
    <r>
      <rPr>
        <b/>
        <i/>
        <vertAlign val="subscript"/>
        <sz val="8"/>
        <rFont val="Times New Roman"/>
        <family val="1"/>
      </rPr>
      <t xml:space="preserve">v </t>
    </r>
  </si>
  <si>
    <t>직접입력 SAMPLE :</t>
    <phoneticPr fontId="0" type="noConversion"/>
  </si>
  <si>
    <t>( Ø12-2EA )</t>
    <phoneticPr fontId="0" type="noConversion"/>
  </si>
  <si>
    <t>갯수</t>
    <phoneticPr fontId="0" type="noConversion"/>
  </si>
  <si>
    <t>(1) LOAD DATA</t>
    <phoneticPr fontId="0" type="noConversion"/>
  </si>
  <si>
    <t>스틸종류</t>
    <phoneticPr fontId="0" type="noConversion"/>
  </si>
  <si>
    <t>d</t>
  </si>
  <si>
    <t>( Diameter )</t>
  </si>
  <si>
    <t>STEEL</t>
    <phoneticPr fontId="0" type="noConversion"/>
  </si>
  <si>
    <r>
      <t>A</t>
    </r>
    <r>
      <rPr>
        <b/>
        <i/>
        <vertAlign val="subscript"/>
        <sz val="8"/>
        <rFont val="Times New Roman"/>
        <family val="1"/>
      </rPr>
      <t>b</t>
    </r>
  </si>
  <si>
    <t>( Nominal Area )</t>
  </si>
  <si>
    <t>STS</t>
    <phoneticPr fontId="0" type="noConversion"/>
  </si>
  <si>
    <t>( The Number of Bolts )</t>
    <phoneticPr fontId="0" type="noConversion"/>
  </si>
  <si>
    <r>
      <t>P</t>
    </r>
    <r>
      <rPr>
        <b/>
        <i/>
        <vertAlign val="subscript"/>
        <sz val="8"/>
        <rFont val="Times New Roman"/>
        <family val="1"/>
      </rPr>
      <t>3</t>
    </r>
  </si>
  <si>
    <t>STS 종류</t>
    <phoneticPr fontId="0" type="noConversion"/>
  </si>
  <si>
    <r>
      <t>n</t>
    </r>
    <r>
      <rPr>
        <b/>
        <i/>
        <vertAlign val="subscript"/>
        <sz val="8"/>
        <rFont val="Times New Roman"/>
        <family val="1"/>
      </rPr>
      <t>s</t>
    </r>
  </si>
  <si>
    <t>( Cross Sections )</t>
  </si>
  <si>
    <r>
      <t>P</t>
    </r>
    <r>
      <rPr>
        <b/>
        <i/>
        <vertAlign val="subscript"/>
        <sz val="8"/>
        <rFont val="Times New Roman"/>
        <family val="1"/>
      </rPr>
      <t>V1</t>
    </r>
  </si>
  <si>
    <t>: 하중값이 0일때는 None으로 대체</t>
    <phoneticPr fontId="0" type="noConversion"/>
  </si>
  <si>
    <t>kN @ Each Bolt</t>
    <phoneticPr fontId="0" type="noConversion"/>
  </si>
  <si>
    <r>
      <t>P</t>
    </r>
    <r>
      <rPr>
        <b/>
        <i/>
        <vertAlign val="subscript"/>
        <sz val="8"/>
        <rFont val="Times New Roman"/>
        <family val="1"/>
      </rPr>
      <t>V2</t>
    </r>
  </si>
  <si>
    <r>
      <t>P</t>
    </r>
    <r>
      <rPr>
        <b/>
        <i/>
        <vertAlign val="subscript"/>
        <sz val="8"/>
        <rFont val="Times New Roman"/>
        <family val="1"/>
      </rPr>
      <t>V</t>
    </r>
  </si>
  <si>
    <t xml:space="preserve"> </t>
    <phoneticPr fontId="0" type="noConversion"/>
  </si>
  <si>
    <t>중볼트 재료</t>
    <phoneticPr fontId="0" type="noConversion"/>
  </si>
  <si>
    <t>허용인장응력</t>
    <phoneticPr fontId="0" type="noConversion"/>
  </si>
  <si>
    <t>허용전단응력</t>
    <phoneticPr fontId="0" type="noConversion"/>
  </si>
  <si>
    <t>선택</t>
    <phoneticPr fontId="0" type="noConversion"/>
  </si>
  <si>
    <t>SS275</t>
    <phoneticPr fontId="0" type="noConversion"/>
  </si>
  <si>
    <t>-. Allowable Shear Force</t>
    <phoneticPr fontId="0" type="noConversion"/>
  </si>
  <si>
    <t>SM275</t>
    <phoneticPr fontId="0" type="noConversion"/>
  </si>
  <si>
    <t>SS315</t>
    <phoneticPr fontId="0" type="noConversion"/>
  </si>
  <si>
    <r>
      <t>R</t>
    </r>
    <r>
      <rPr>
        <b/>
        <i/>
        <vertAlign val="subscript"/>
        <sz val="8"/>
        <rFont val="Times New Roman"/>
        <family val="1"/>
      </rPr>
      <t>V</t>
    </r>
  </si>
  <si>
    <t>SM420</t>
    <phoneticPr fontId="0" type="noConversion"/>
  </si>
  <si>
    <t>kN</t>
  </si>
  <si>
    <t>SM460</t>
    <phoneticPr fontId="0" type="noConversion"/>
  </si>
  <si>
    <t>(5) CHECK FOR BEARING</t>
  </si>
  <si>
    <t>부재재질</t>
    <phoneticPr fontId="0" type="noConversion"/>
  </si>
  <si>
    <t>부재재질
출력</t>
    <phoneticPr fontId="0" type="noConversion"/>
  </si>
  <si>
    <t>초기허용응력출력</t>
    <phoneticPr fontId="0" type="noConversion"/>
  </si>
  <si>
    <t>초기허용
기본단위</t>
    <phoneticPr fontId="0" type="noConversion"/>
  </si>
  <si>
    <t>단위변경</t>
    <phoneticPr fontId="0" type="noConversion"/>
  </si>
  <si>
    <t>단기적용
단위</t>
    <phoneticPr fontId="0" type="noConversion"/>
  </si>
  <si>
    <t>-. Actual Shear Stress</t>
    <phoneticPr fontId="0" type="noConversion"/>
  </si>
  <si>
    <t>-. Allowable Stress</t>
    <phoneticPr fontId="0" type="noConversion"/>
  </si>
  <si>
    <t>6063-T5</t>
    <phoneticPr fontId="0" type="noConversion"/>
  </si>
  <si>
    <t>ALUM. Alloy &amp; Temper 6063-T5 / J.3.7a, J.4.7</t>
    <phoneticPr fontId="0" type="noConversion"/>
  </si>
  <si>
    <t>ksi</t>
    <phoneticPr fontId="0" type="noConversion"/>
  </si>
  <si>
    <t>N/mm²</t>
    <phoneticPr fontId="0" type="noConversion"/>
  </si>
  <si>
    <t>6063-T6</t>
    <phoneticPr fontId="0" type="noConversion"/>
  </si>
  <si>
    <t>ALUM. Alloy &amp; Temper 6063-T6 / J.3.7a, J.4.7</t>
    <phoneticPr fontId="0" type="noConversion"/>
  </si>
  <si>
    <t>t</t>
    <phoneticPr fontId="0" type="noConversion"/>
  </si>
  <si>
    <t>STEEL SS275</t>
    <phoneticPr fontId="0" type="noConversion"/>
  </si>
  <si>
    <t>SST. STS304</t>
    <phoneticPr fontId="0" type="noConversion"/>
  </si>
  <si>
    <r>
      <t>d × t × F</t>
    </r>
    <r>
      <rPr>
        <b/>
        <i/>
        <vertAlign val="subscript"/>
        <sz val="8"/>
        <rFont val="Times New Roman"/>
        <family val="1"/>
      </rPr>
      <t>y</t>
    </r>
  </si>
  <si>
    <t>GLASS</t>
    <phoneticPr fontId="0" type="noConversion"/>
  </si>
  <si>
    <t>GLASS Fully Tempered</t>
    <phoneticPr fontId="0" type="noConversion"/>
  </si>
  <si>
    <t>제질선택</t>
    <phoneticPr fontId="0" type="noConversion"/>
  </si>
  <si>
    <t>베젤직경</t>
    <phoneticPr fontId="0" type="noConversion"/>
  </si>
  <si>
    <t>d-bearing</t>
    <phoneticPr fontId="0" type="noConversion"/>
  </si>
  <si>
    <t>볼트직경</t>
    <phoneticPr fontId="0" type="noConversion"/>
  </si>
  <si>
    <r>
      <t>F</t>
    </r>
    <r>
      <rPr>
        <b/>
        <vertAlign val="subscript"/>
        <sz val="8"/>
        <rFont val="한컴돋움"/>
        <family val="1"/>
        <charset val="129"/>
      </rPr>
      <t>e</t>
    </r>
    <r>
      <rPr>
        <b/>
        <sz val="8"/>
        <rFont val="한컴돋움"/>
        <family val="1"/>
        <charset val="129"/>
      </rPr>
      <t>출력</t>
    </r>
  </si>
  <si>
    <r>
      <t>f</t>
    </r>
    <r>
      <rPr>
        <b/>
        <vertAlign val="subscript"/>
        <sz val="8"/>
        <rFont val="한컴돋움"/>
        <family val="1"/>
        <charset val="129"/>
      </rPr>
      <t>e</t>
    </r>
    <r>
      <rPr>
        <b/>
        <sz val="8"/>
        <rFont val="한컴돋움"/>
        <family val="1"/>
        <charset val="129"/>
      </rPr>
      <t>변수</t>
    </r>
  </si>
  <si>
    <t>-. CHECK FOR TYPICAL TRANSOM</t>
  </si>
  <si>
    <r>
      <rPr>
        <b/>
        <sz val="8"/>
        <rFont val="한컴바탕"/>
        <family val="1"/>
        <charset val="129"/>
      </rPr>
      <t>√</t>
    </r>
    <r>
      <rPr>
        <b/>
        <i/>
        <sz val="8"/>
        <rFont val="Times New Roman"/>
        <family val="1"/>
      </rPr>
      <t>( P</t>
    </r>
    <r>
      <rPr>
        <b/>
        <i/>
        <vertAlign val="subscript"/>
        <sz val="8"/>
        <rFont val="Times New Roman"/>
        <family val="1"/>
      </rPr>
      <t>1</t>
    </r>
    <r>
      <rPr>
        <b/>
        <i/>
        <vertAlign val="superscript"/>
        <sz val="8"/>
        <rFont val="Times New Roman"/>
        <family val="1"/>
      </rPr>
      <t>2</t>
    </r>
    <r>
      <rPr>
        <b/>
        <i/>
        <vertAlign val="subscript"/>
        <sz val="8"/>
        <rFont val="Times New Roman"/>
        <family val="1"/>
      </rPr>
      <t xml:space="preserve"> </t>
    </r>
    <r>
      <rPr>
        <b/>
        <i/>
        <sz val="8"/>
        <rFont val="Times New Roman"/>
        <family val="1"/>
      </rPr>
      <t>+ P</t>
    </r>
    <r>
      <rPr>
        <b/>
        <i/>
        <vertAlign val="subscript"/>
        <sz val="8"/>
        <rFont val="Times New Roman"/>
        <family val="1"/>
      </rPr>
      <t>2</t>
    </r>
    <r>
      <rPr>
        <b/>
        <i/>
        <vertAlign val="super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>) / n</t>
    </r>
  </si>
  <si>
    <t>본 계산서는 견적용으로 참고 가능하며 실제 적용시 추가검토가 필요함.</t>
  </si>
  <si>
    <r>
      <t>( M</t>
    </r>
    <r>
      <rPr>
        <b/>
        <i/>
        <vertAlign val="subscript"/>
        <sz val="8"/>
        <rFont val="Times New Roman"/>
        <family val="1"/>
      </rPr>
      <t>D.L</t>
    </r>
    <r>
      <rPr>
        <b/>
        <i/>
        <sz val="8"/>
        <rFont val="Times New Roman"/>
        <family val="1"/>
      </rPr>
      <t xml:space="preserve"> / S</t>
    </r>
    <r>
      <rPr>
        <b/>
        <i/>
        <vertAlign val="subscript"/>
        <sz val="8"/>
        <rFont val="Times New Roman"/>
        <family val="1"/>
      </rPr>
      <t>X</t>
    </r>
    <r>
      <rPr>
        <b/>
        <i/>
        <sz val="8"/>
        <rFont val="Times New Roman"/>
        <family val="1"/>
      </rPr>
      <t xml:space="preserve"> )</t>
    </r>
  </si>
  <si>
    <r>
      <t>( 0.85*M</t>
    </r>
    <r>
      <rPr>
        <b/>
        <i/>
        <vertAlign val="subscript"/>
        <sz val="8"/>
        <rFont val="Times New Roman"/>
        <family val="1"/>
      </rPr>
      <t>W.L</t>
    </r>
    <r>
      <rPr>
        <b/>
        <i/>
        <sz val="8"/>
        <rFont val="Times New Roman"/>
        <family val="1"/>
      </rPr>
      <t xml:space="preserve"> / S</t>
    </r>
    <r>
      <rPr>
        <b/>
        <i/>
        <vertAlign val="subscript"/>
        <sz val="8"/>
        <rFont val="Times New Roman"/>
        <family val="1"/>
      </rPr>
      <t>Y</t>
    </r>
    <r>
      <rPr>
        <b/>
        <i/>
        <sz val="8"/>
        <rFont val="Times New Roman"/>
        <family val="1"/>
      </rPr>
      <t xml:space="preserve"> )</t>
    </r>
  </si>
  <si>
    <t>6+6A+6</t>
  </si>
  <si>
    <r>
      <t>{ ( P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/ n )</t>
    </r>
    <r>
      <rPr>
        <b/>
        <i/>
        <vertAlign val="subscript"/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( e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+ 0.85*d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) } / ( 0.85*d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)</t>
    </r>
  </si>
  <si>
    <r>
      <t>P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 /  n</t>
    </r>
  </si>
  <si>
    <r>
      <rPr>
        <b/>
        <sz val="8"/>
        <rFont val="Times New Roman"/>
        <family val="1"/>
      </rPr>
      <t>※</t>
    </r>
    <r>
      <rPr>
        <b/>
        <i/>
        <sz val="8"/>
        <rFont val="Times New Roman"/>
        <family val="1"/>
        <charset val="129"/>
      </rPr>
      <t xml:space="preserve"> </t>
    </r>
    <r>
      <rPr>
        <b/>
        <sz val="8"/>
        <rFont val="Times New Roman"/>
        <family val="1"/>
      </rPr>
      <t>비틀림 20% 이하</t>
    </r>
    <r>
      <rPr>
        <b/>
        <i/>
        <sz val="8"/>
        <rFont val="Times New Roman"/>
        <family val="1"/>
      </rPr>
      <t xml:space="preserve"> , e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≤ LG</t>
    </r>
  </si>
  <si>
    <r>
      <t>M</t>
    </r>
    <r>
      <rPr>
        <b/>
        <i/>
        <vertAlign val="subscript"/>
        <sz val="8"/>
        <rFont val="Times New Roman"/>
        <family val="1"/>
      </rPr>
      <t>X</t>
    </r>
    <r>
      <rPr>
        <b/>
        <i/>
        <sz val="8"/>
        <rFont val="Times New Roman"/>
        <family val="1"/>
        <charset val="129"/>
      </rPr>
      <t xml:space="preserve"> = P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  <charset val="129"/>
      </rPr>
      <t xml:space="preserve"> × e</t>
    </r>
    <r>
      <rPr>
        <b/>
        <i/>
        <vertAlign val="subscript"/>
        <sz val="8"/>
        <rFont val="Times New Roman"/>
        <family val="1"/>
      </rPr>
      <t>1</t>
    </r>
  </si>
  <si>
    <r>
      <t>M</t>
    </r>
    <r>
      <rPr>
        <b/>
        <i/>
        <vertAlign val="subscript"/>
        <sz val="8"/>
        <rFont val="Times New Roman"/>
        <family val="1"/>
      </rPr>
      <t>Z</t>
    </r>
    <r>
      <rPr>
        <b/>
        <i/>
        <sz val="8"/>
        <rFont val="Times New Roman"/>
        <family val="1"/>
        <charset val="129"/>
      </rPr>
      <t xml:space="preserve"> = None</t>
    </r>
  </si>
  <si>
    <r>
      <rPr>
        <b/>
        <sz val="8"/>
        <rFont val="Times New Roman"/>
        <family val="1"/>
      </rPr>
      <t>※ 비틀림 20% 이하 ,</t>
    </r>
    <r>
      <rPr>
        <b/>
        <i/>
        <sz val="8"/>
        <rFont val="Times New Roman"/>
        <family val="1"/>
      </rPr>
      <t xml:space="preserve"> e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&gt; LG</t>
    </r>
  </si>
  <si>
    <r>
      <rPr>
        <b/>
        <sz val="8"/>
        <rFont val="Times New Roman"/>
        <family val="1"/>
      </rPr>
      <t>※ 비틀림 20% 초과 ,</t>
    </r>
    <r>
      <rPr>
        <b/>
        <i/>
        <sz val="8"/>
        <rFont val="Times New Roman"/>
        <family val="1"/>
      </rPr>
      <t xml:space="preserve"> e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≤ LG</t>
    </r>
  </si>
  <si>
    <r>
      <t>M</t>
    </r>
    <r>
      <rPr>
        <b/>
        <i/>
        <vertAlign val="subscript"/>
        <sz val="8"/>
        <rFont val="Times New Roman"/>
        <family val="1"/>
      </rPr>
      <t>X</t>
    </r>
    <r>
      <rPr>
        <b/>
        <i/>
        <sz val="8"/>
        <rFont val="Times New Roman"/>
        <family val="1"/>
        <charset val="129"/>
      </rPr>
      <t xml:space="preserve"> = P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  <charset val="129"/>
      </rPr>
      <t xml:space="preserve"> × e</t>
    </r>
    <r>
      <rPr>
        <b/>
        <i/>
        <vertAlign val="sub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</si>
  <si>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※ 비틀림 20% 초과 ,</t>
    </r>
    <r>
      <rPr>
        <b/>
        <i/>
        <sz val="8"/>
        <rFont val="Times New Roman"/>
        <family val="1"/>
      </rPr>
      <t xml:space="preserve"> e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&gt; LG</t>
    </r>
  </si>
  <si>
    <r>
      <t>M</t>
    </r>
    <r>
      <rPr>
        <b/>
        <i/>
        <vertAlign val="subscript"/>
        <sz val="8"/>
        <rFont val="Times New Roman"/>
        <family val="1"/>
      </rPr>
      <t>Z</t>
    </r>
    <r>
      <rPr>
        <b/>
        <i/>
        <sz val="8"/>
        <rFont val="Times New Roman"/>
        <family val="1"/>
        <charset val="129"/>
      </rPr>
      <t xml:space="preserve"> = P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  <charset val="129"/>
      </rPr>
      <t xml:space="preserve"> × e</t>
    </r>
    <r>
      <rPr>
        <b/>
        <i/>
        <vertAlign val="subscript"/>
        <sz val="8"/>
        <rFont val="Times New Roman"/>
        <family val="1"/>
      </rPr>
      <t>2</t>
    </r>
  </si>
  <si>
    <r>
      <t>{ M</t>
    </r>
    <r>
      <rPr>
        <b/>
        <i/>
        <vertAlign val="subscript"/>
        <sz val="8"/>
        <rFont val="Times New Roman"/>
        <family val="1"/>
      </rPr>
      <t>Z</t>
    </r>
    <r>
      <rPr>
        <b/>
        <i/>
        <sz val="8"/>
        <rFont val="Times New Roman"/>
        <family val="1"/>
      </rPr>
      <t xml:space="preserve"> / ( J/b ) } / F</t>
    </r>
    <r>
      <rPr>
        <b/>
        <i/>
        <vertAlign val="subscript"/>
        <sz val="8"/>
        <rFont val="Times New Roman"/>
        <family val="1"/>
      </rPr>
      <t>V</t>
    </r>
  </si>
  <si>
    <r>
      <rPr>
        <b/>
        <sz val="8"/>
        <rFont val="한컴돋움"/>
        <family val="1"/>
        <charset val="129"/>
      </rPr>
      <t>√</t>
    </r>
    <r>
      <rPr>
        <b/>
        <i/>
        <sz val="8"/>
        <rFont val="Times New Roman"/>
        <family val="1"/>
      </rPr>
      <t>( P</t>
    </r>
    <r>
      <rPr>
        <b/>
        <i/>
        <vertAlign val="subscript"/>
        <sz val="8"/>
        <rFont val="Times New Roman"/>
        <family val="1"/>
      </rPr>
      <t>1</t>
    </r>
    <r>
      <rPr>
        <b/>
        <i/>
        <vertAlign val="superscript"/>
        <sz val="8"/>
        <rFont val="Times New Roman"/>
        <family val="1"/>
      </rPr>
      <t xml:space="preserve">2 </t>
    </r>
    <r>
      <rPr>
        <b/>
        <i/>
        <sz val="8"/>
        <rFont val="Times New Roman"/>
        <family val="1"/>
      </rPr>
      <t>+ P</t>
    </r>
    <r>
      <rPr>
        <b/>
        <i/>
        <vertAlign val="subscript"/>
        <sz val="8"/>
        <rFont val="Times New Roman"/>
        <family val="1"/>
      </rPr>
      <t>2</t>
    </r>
    <r>
      <rPr>
        <b/>
        <i/>
        <vertAlign val="super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) / ( A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n )</t>
    </r>
  </si>
  <si>
    <r>
      <t>f</t>
    </r>
    <r>
      <rPr>
        <b/>
        <i/>
        <vertAlign val="subscript"/>
        <sz val="8"/>
        <rFont val="Times New Roman"/>
        <family val="1"/>
      </rPr>
      <t xml:space="preserve">t </t>
    </r>
    <r>
      <rPr>
        <b/>
        <i/>
        <sz val="8"/>
        <rFont val="Times New Roman"/>
        <family val="1"/>
      </rPr>
      <t>/ F</t>
    </r>
    <r>
      <rPr>
        <b/>
        <i/>
        <vertAlign val="subscript"/>
        <sz val="8"/>
        <rFont val="Times New Roman"/>
        <family val="1"/>
      </rPr>
      <t>t</t>
    </r>
    <r>
      <rPr>
        <b/>
        <i/>
        <sz val="8"/>
        <rFont val="Times New Roman"/>
        <family val="1"/>
      </rPr>
      <t xml:space="preserve"> + f</t>
    </r>
    <r>
      <rPr>
        <b/>
        <i/>
        <vertAlign val="subscript"/>
        <sz val="8"/>
        <rFont val="Times New Roman"/>
        <family val="1"/>
      </rPr>
      <t xml:space="preserve">b1 </t>
    </r>
    <r>
      <rPr>
        <b/>
        <i/>
        <sz val="8"/>
        <rFont val="Times New Roman"/>
        <family val="1"/>
      </rPr>
      <t>/ F</t>
    </r>
    <r>
      <rPr>
        <b/>
        <i/>
        <vertAlign val="subscript"/>
        <sz val="8"/>
        <rFont val="Times New Roman"/>
        <family val="1"/>
      </rPr>
      <t>b1</t>
    </r>
    <r>
      <rPr>
        <b/>
        <i/>
        <sz val="8"/>
        <rFont val="Times New Roman"/>
        <family val="1"/>
      </rPr>
      <t xml:space="preserve"> + f</t>
    </r>
    <r>
      <rPr>
        <b/>
        <i/>
        <vertAlign val="subscript"/>
        <sz val="8"/>
        <rFont val="Times New Roman"/>
        <family val="1"/>
      </rPr>
      <t xml:space="preserve">b2 </t>
    </r>
    <r>
      <rPr>
        <b/>
        <i/>
        <sz val="8"/>
        <rFont val="Times New Roman"/>
        <family val="1"/>
      </rPr>
      <t>/ F</t>
    </r>
    <r>
      <rPr>
        <b/>
        <i/>
        <vertAlign val="subscript"/>
        <sz val="8"/>
        <rFont val="Times New Roman"/>
        <family val="1"/>
      </rPr>
      <t>b2</t>
    </r>
  </si>
  <si>
    <r>
      <t>{ ( P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/ n )</t>
    </r>
    <r>
      <rPr>
        <b/>
        <i/>
        <vertAlign val="subscript"/>
        <sz val="8"/>
        <rFont val="Times New Roman"/>
        <family val="1"/>
      </rPr>
      <t xml:space="preserve"> </t>
    </r>
    <r>
      <rPr>
        <b/>
        <i/>
        <sz val="8"/>
        <rFont val="Times New Roman"/>
        <family val="1"/>
      </rPr>
      <t>× ( e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+ 0.85 × d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) } / ( 0.85 × d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)</t>
    </r>
  </si>
  <si>
    <r>
      <t>{ ( P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/ n ) × e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} / ( 0.85 × d</t>
    </r>
    <r>
      <rPr>
        <b/>
        <i/>
        <vertAlign val="subscript"/>
        <sz val="8"/>
        <rFont val="Times New Roman"/>
        <family val="1"/>
      </rPr>
      <t xml:space="preserve">1 </t>
    </r>
    <r>
      <rPr>
        <b/>
        <i/>
        <sz val="8"/>
        <rFont val="Times New Roman"/>
        <family val="1"/>
      </rPr>
      <t>)</t>
    </r>
  </si>
  <si>
    <r>
      <t>{ ( P</t>
    </r>
    <r>
      <rPr>
        <b/>
        <i/>
        <vertAlign val="subscript"/>
        <sz val="8"/>
        <rFont val="Times New Roman"/>
        <family val="1"/>
      </rPr>
      <t xml:space="preserve">2  </t>
    </r>
    <r>
      <rPr>
        <b/>
        <i/>
        <sz val="8"/>
        <rFont val="Times New Roman"/>
        <family val="1"/>
      </rPr>
      <t>/ n ) × e</t>
    </r>
    <r>
      <rPr>
        <b/>
        <i/>
        <vertAlign val="subscript"/>
        <sz val="8"/>
        <rFont val="Times New Roman"/>
        <family val="1"/>
      </rPr>
      <t xml:space="preserve">2 </t>
    </r>
    <r>
      <rPr>
        <b/>
        <i/>
        <sz val="8"/>
        <rFont val="Times New Roman"/>
        <family val="1"/>
      </rPr>
      <t>} / ( 0.85 × d</t>
    </r>
    <r>
      <rPr>
        <b/>
        <i/>
        <vertAlign val="subscript"/>
        <sz val="8"/>
        <rFont val="Times New Roman"/>
        <family val="1"/>
      </rPr>
      <t xml:space="preserve">2 </t>
    </r>
    <r>
      <rPr>
        <b/>
        <i/>
        <sz val="8"/>
        <rFont val="Times New Roman"/>
        <family val="1"/>
      </rPr>
      <t>)</t>
    </r>
  </si>
  <si>
    <r>
      <t>{ ( P</t>
    </r>
    <r>
      <rPr>
        <b/>
        <i/>
        <vertAlign val="subscript"/>
        <sz val="8"/>
        <rFont val="Times New Roman"/>
        <family val="1"/>
      </rPr>
      <t xml:space="preserve">2 </t>
    </r>
    <r>
      <rPr>
        <b/>
        <i/>
        <sz val="8"/>
        <rFont val="Times New Roman"/>
        <family val="1"/>
      </rPr>
      <t>/ n )</t>
    </r>
    <r>
      <rPr>
        <b/>
        <i/>
        <vertAlign val="subscript"/>
        <sz val="8"/>
        <rFont val="Times New Roman"/>
        <family val="1"/>
      </rPr>
      <t xml:space="preserve"> </t>
    </r>
    <r>
      <rPr>
        <b/>
        <i/>
        <sz val="8"/>
        <rFont val="Times New Roman"/>
        <family val="1"/>
      </rPr>
      <t>× ( e</t>
    </r>
    <r>
      <rPr>
        <b/>
        <i/>
        <vertAlign val="subscript"/>
        <sz val="8"/>
        <rFont val="Times New Roman"/>
        <family val="1"/>
      </rPr>
      <t xml:space="preserve">2 </t>
    </r>
    <r>
      <rPr>
        <b/>
        <i/>
        <sz val="8"/>
        <rFont val="Times New Roman"/>
        <family val="1"/>
      </rPr>
      <t>+ 0.85 × d</t>
    </r>
    <r>
      <rPr>
        <b/>
        <i/>
        <vertAlign val="subscript"/>
        <sz val="8"/>
        <rFont val="Times New Roman"/>
        <family val="1"/>
      </rPr>
      <t xml:space="preserve">2 </t>
    </r>
    <r>
      <rPr>
        <b/>
        <i/>
        <sz val="8"/>
        <rFont val="Times New Roman"/>
        <family val="1"/>
      </rPr>
      <t>) } / ( 0.85 × d</t>
    </r>
    <r>
      <rPr>
        <b/>
        <i/>
        <vertAlign val="subscript"/>
        <sz val="8"/>
        <rFont val="Times New Roman"/>
        <family val="1"/>
      </rPr>
      <t xml:space="preserve">2 </t>
    </r>
    <r>
      <rPr>
        <b/>
        <i/>
        <sz val="8"/>
        <rFont val="Times New Roman"/>
        <family val="1"/>
      </rPr>
      <t>)</t>
    </r>
  </si>
  <si>
    <r>
      <t>P</t>
    </r>
    <r>
      <rPr>
        <b/>
        <i/>
        <vertAlign val="subscript"/>
        <sz val="8"/>
        <rFont val="Times New Roman"/>
        <family val="1"/>
      </rPr>
      <t>1</t>
    </r>
    <r>
      <rPr>
        <b/>
        <i/>
        <sz val="8"/>
        <rFont val="Times New Roman"/>
        <family val="1"/>
      </rPr>
      <t xml:space="preserve"> / n</t>
    </r>
  </si>
  <si>
    <r>
      <t>P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/ n</t>
    </r>
  </si>
  <si>
    <r>
      <t>( C</t>
    </r>
    <r>
      <rPr>
        <b/>
        <i/>
        <vertAlign val="subscript"/>
        <sz val="8"/>
        <rFont val="Times New Roman"/>
        <family val="1"/>
      </rPr>
      <t>1</t>
    </r>
    <r>
      <rPr>
        <b/>
        <i/>
        <sz val="8"/>
        <rFont val="Times New Roman"/>
        <family val="1"/>
      </rPr>
      <t xml:space="preserve"> / C</t>
    </r>
    <r>
      <rPr>
        <b/>
        <i/>
        <vertAlign val="subscript"/>
        <sz val="8"/>
        <rFont val="Times New Roman"/>
        <family val="1"/>
      </rPr>
      <t xml:space="preserve">min </t>
    </r>
    <r>
      <rPr>
        <b/>
        <i/>
        <sz val="8"/>
        <rFont val="Times New Roman"/>
        <family val="1"/>
      </rPr>
      <t>)</t>
    </r>
    <r>
      <rPr>
        <b/>
        <i/>
        <vertAlign val="superscript"/>
        <sz val="8"/>
        <rFont val="Times New Roman"/>
        <family val="1"/>
      </rPr>
      <t>1.5</t>
    </r>
  </si>
  <si>
    <t>MPa</t>
  </si>
  <si>
    <t>20m 이상</t>
  </si>
  <si>
    <t>볼트 사이즈</t>
  </si>
  <si>
    <t>볼트 갯수</t>
  </si>
  <si>
    <t>브라켓 개수</t>
  </si>
  <si>
    <t>개수</t>
  </si>
  <si>
    <t>두께</t>
  </si>
  <si>
    <t>평면상 가로길이</t>
  </si>
  <si>
    <t>평면상 세로길이</t>
  </si>
  <si>
    <t>단면상 세로길이</t>
  </si>
  <si>
    <t>EA</t>
  </si>
  <si>
    <t>Side</t>
  </si>
  <si>
    <t>STEEL
BRACKET</t>
  </si>
  <si>
    <t>STEEL
BOLT</t>
  </si>
  <si>
    <t>풍하중 편심 (e1)</t>
  </si>
  <si>
    <t>자중 편심 (e2)</t>
  </si>
  <si>
    <t>앵커 사이즈</t>
  </si>
  <si>
    <t>앵커 개수</t>
  </si>
  <si>
    <t>앵커간격</t>
  </si>
  <si>
    <t>최소간격으로 입력</t>
  </si>
  <si>
    <t>연단거리</t>
  </si>
  <si>
    <t>풍하중 저항거리 (d1)</t>
  </si>
  <si>
    <t>STUD
ANCHOR</t>
  </si>
  <si>
    <t>1) GENERAL</t>
    <phoneticPr fontId="0" type="noConversion"/>
  </si>
  <si>
    <t>sLCB</t>
    <phoneticPr fontId="0" type="noConversion"/>
  </si>
  <si>
    <t>:</t>
    <phoneticPr fontId="0" type="noConversion"/>
  </si>
  <si>
    <t>0.85*W.L + D.L</t>
    <phoneticPr fontId="0" type="noConversion"/>
  </si>
  <si>
    <t>W</t>
    <phoneticPr fontId="0" type="noConversion"/>
  </si>
  <si>
    <t>( Module Width )</t>
    <phoneticPr fontId="0" type="noConversion"/>
  </si>
  <si>
    <t>H</t>
    <phoneticPr fontId="0" type="noConversion"/>
  </si>
  <si>
    <t>( Anchorage Length )</t>
    <phoneticPr fontId="0" type="noConversion"/>
  </si>
  <si>
    <t>W.L</t>
    <phoneticPr fontId="0" type="noConversion"/>
  </si>
  <si>
    <t>kPa</t>
    <phoneticPr fontId="0" type="noConversion"/>
  </si>
  <si>
    <t>( Design Wind Load )</t>
    <phoneticPr fontId="0" type="noConversion"/>
  </si>
  <si>
    <t>D.L</t>
    <phoneticPr fontId="0" type="noConversion"/>
  </si>
  <si>
    <t>( Design Dead Load )</t>
    <phoneticPr fontId="0" type="noConversion"/>
  </si>
  <si>
    <t>No.</t>
    <phoneticPr fontId="0" type="noConversion"/>
  </si>
  <si>
    <t>Item</t>
    <phoneticPr fontId="0" type="noConversion"/>
  </si>
  <si>
    <t>Specification</t>
    <phoneticPr fontId="0" type="noConversion"/>
  </si>
  <si>
    <t>Ratio</t>
    <phoneticPr fontId="0" type="noConversion"/>
  </si>
  <si>
    <t>· STEEL BOLT</t>
  </si>
  <si>
    <t>· STEEL BRACKET</t>
  </si>
  <si>
    <t>· STUD ANCHOR</t>
    <phoneticPr fontId="4" type="noConversion"/>
  </si>
  <si>
    <t>(2) ACTUAL SHEAR FORCE</t>
  </si>
  <si>
    <r>
      <t>P</t>
    </r>
    <r>
      <rPr>
        <b/>
        <i/>
        <vertAlign val="subscript"/>
        <sz val="8"/>
        <rFont val="Times New Roman"/>
        <family val="1"/>
      </rPr>
      <t>1</t>
    </r>
    <r>
      <rPr>
        <b/>
        <i/>
        <sz val="8"/>
        <rFont val="Times New Roman"/>
        <family val="1"/>
      </rPr>
      <t xml:space="preserve"> / n / n</t>
    </r>
    <r>
      <rPr>
        <b/>
        <i/>
        <vertAlign val="subscript"/>
        <sz val="8"/>
        <rFont val="Times New Roman"/>
        <family val="1"/>
      </rPr>
      <t>s</t>
    </r>
  </si>
  <si>
    <r>
      <t>P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/ n / n</t>
    </r>
    <r>
      <rPr>
        <b/>
        <i/>
        <vertAlign val="subscript"/>
        <sz val="8"/>
        <rFont val="Times New Roman"/>
        <family val="1"/>
      </rPr>
      <t>s</t>
    </r>
  </si>
  <si>
    <r>
      <rPr>
        <b/>
        <sz val="8"/>
        <rFont val="한컴돋움"/>
        <family val="1"/>
        <charset val="129"/>
      </rPr>
      <t>√</t>
    </r>
    <r>
      <rPr>
        <b/>
        <i/>
        <sz val="8"/>
        <rFont val="Times New Roman"/>
        <family val="1"/>
      </rPr>
      <t>( P</t>
    </r>
    <r>
      <rPr>
        <b/>
        <i/>
        <vertAlign val="subscript"/>
        <sz val="8"/>
        <rFont val="Times New Roman"/>
        <family val="1"/>
      </rPr>
      <t>V1</t>
    </r>
    <r>
      <rPr>
        <b/>
        <i/>
        <vertAlign val="super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>+ P</t>
    </r>
    <r>
      <rPr>
        <b/>
        <i/>
        <vertAlign val="subscript"/>
        <sz val="8"/>
        <rFont val="Times New Roman"/>
        <family val="1"/>
      </rPr>
      <t>V2</t>
    </r>
    <r>
      <rPr>
        <b/>
        <i/>
        <vertAlign val="superscript"/>
        <sz val="8"/>
        <rFont val="Times New Roman"/>
        <family val="1"/>
      </rPr>
      <t xml:space="preserve">2 </t>
    </r>
    <r>
      <rPr>
        <b/>
        <i/>
        <sz val="8"/>
        <rFont val="Times New Roman"/>
        <family val="1"/>
      </rPr>
      <t>)</t>
    </r>
  </si>
  <si>
    <t>(3) ALLOWABLE SHEAR FORCE</t>
  </si>
  <si>
    <r>
      <t>A</t>
    </r>
    <r>
      <rPr>
        <b/>
        <i/>
        <vertAlign val="subscript"/>
        <sz val="8"/>
        <rFont val="Times New Roman"/>
        <family val="1"/>
      </rPr>
      <t>b</t>
    </r>
    <r>
      <rPr>
        <b/>
        <i/>
        <sz val="8"/>
        <rFont val="Times New Roman"/>
        <family val="1"/>
      </rPr>
      <t xml:space="preserve"> × F</t>
    </r>
    <r>
      <rPr>
        <b/>
        <i/>
        <vertAlign val="subscript"/>
        <sz val="8"/>
        <rFont val="Times New Roman"/>
        <family val="1"/>
      </rPr>
      <t>v</t>
    </r>
  </si>
  <si>
    <t>(4) CHECK STRESS STABILITY</t>
  </si>
  <si>
    <r>
      <t>P</t>
    </r>
    <r>
      <rPr>
        <b/>
        <i/>
        <vertAlign val="subscript"/>
        <sz val="8"/>
        <rFont val="Times New Roman"/>
        <family val="1"/>
      </rPr>
      <t>V</t>
    </r>
    <r>
      <rPr>
        <b/>
        <i/>
        <sz val="8"/>
        <rFont val="Times New Roman"/>
        <family val="1"/>
      </rPr>
      <t xml:space="preserve">  /  R</t>
    </r>
    <r>
      <rPr>
        <b/>
        <i/>
        <vertAlign val="subscript"/>
        <sz val="8"/>
        <rFont val="Times New Roman"/>
        <family val="1"/>
      </rPr>
      <t>V1</t>
    </r>
  </si>
  <si>
    <r>
      <t>R</t>
    </r>
    <r>
      <rPr>
        <b/>
        <i/>
        <vertAlign val="subscript"/>
        <sz val="8"/>
        <rFont val="Times New Roman"/>
        <family val="1"/>
      </rPr>
      <t>V2</t>
    </r>
  </si>
  <si>
    <r>
      <t>P</t>
    </r>
    <r>
      <rPr>
        <b/>
        <i/>
        <vertAlign val="subscript"/>
        <sz val="8"/>
        <rFont val="Times New Roman"/>
        <family val="1"/>
      </rPr>
      <t>V</t>
    </r>
    <r>
      <rPr>
        <b/>
        <i/>
        <sz val="8"/>
        <rFont val="Times New Roman"/>
        <family val="1"/>
      </rPr>
      <t xml:space="preserve">  /  R</t>
    </r>
    <r>
      <rPr>
        <b/>
        <i/>
        <vertAlign val="subscript"/>
        <sz val="8"/>
        <rFont val="Times New Roman"/>
        <family val="1"/>
      </rPr>
      <t>V2</t>
    </r>
  </si>
  <si>
    <t>None</t>
    <phoneticPr fontId="3" type="noConversion"/>
  </si>
  <si>
    <r>
      <t>( P</t>
    </r>
    <r>
      <rPr>
        <b/>
        <i/>
        <vertAlign val="subscript"/>
        <sz val="8"/>
        <rFont val="Times New Roman"/>
        <family val="1"/>
      </rPr>
      <t>1</t>
    </r>
    <r>
      <rPr>
        <b/>
        <i/>
        <sz val="8"/>
        <rFont val="Times New Roman"/>
        <family val="1"/>
      </rPr>
      <t xml:space="preserve"> / n )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e</t>
    </r>
    <r>
      <rPr>
        <b/>
        <i/>
        <vertAlign val="subscript"/>
        <sz val="8"/>
        <rFont val="Times New Roman"/>
        <family val="1"/>
      </rPr>
      <t>1</t>
    </r>
  </si>
  <si>
    <r>
      <t>J</t>
    </r>
    <r>
      <rPr>
        <b/>
        <sz val="8"/>
        <rFont val="한컴돋움"/>
        <family val="1"/>
        <charset val="129"/>
      </rPr>
      <t>(약산식)</t>
    </r>
  </si>
  <si>
    <r>
      <t>hb</t>
    </r>
    <r>
      <rPr>
        <b/>
        <i/>
        <vertAlign val="superscript"/>
        <sz val="8"/>
        <rFont val="Times New Roman"/>
        <family val="1"/>
      </rPr>
      <t>3</t>
    </r>
    <r>
      <rPr>
        <b/>
        <i/>
        <sz val="8"/>
        <rFont val="Times New Roman"/>
        <family val="1"/>
      </rPr>
      <t xml:space="preserve"> / 3</t>
    </r>
  </si>
  <si>
    <r>
      <t>hb</t>
    </r>
    <r>
      <rPr>
        <b/>
        <i/>
        <vertAlign val="superscript"/>
        <sz val="8"/>
        <rFont val="Times New Roman"/>
        <family val="1"/>
      </rPr>
      <t>3</t>
    </r>
    <r>
      <rPr>
        <b/>
        <i/>
        <sz val="8"/>
        <rFont val="Times New Roman"/>
        <family val="1"/>
      </rPr>
      <t xml:space="preserve"> × [ 1 / 3  - ( 0.21 × b / h ) × { 1 - b</t>
    </r>
    <r>
      <rPr>
        <b/>
        <i/>
        <vertAlign val="superscript"/>
        <sz val="8"/>
        <rFont val="Times New Roman"/>
        <family val="1"/>
      </rPr>
      <t>4</t>
    </r>
    <r>
      <rPr>
        <b/>
        <i/>
        <sz val="8"/>
        <rFont val="Times New Roman"/>
        <family val="1"/>
      </rPr>
      <t xml:space="preserve"> / ( 12 × h</t>
    </r>
    <r>
      <rPr>
        <b/>
        <i/>
        <vertAlign val="superscript"/>
        <sz val="8"/>
        <rFont val="Times New Roman"/>
        <family val="1"/>
      </rPr>
      <t>4</t>
    </r>
    <r>
      <rPr>
        <b/>
        <i/>
        <sz val="8"/>
        <rFont val="Times New Roman"/>
        <family val="1"/>
      </rPr>
      <t xml:space="preserve"> ) } ]</t>
    </r>
  </si>
  <si>
    <r>
      <t>P</t>
    </r>
    <r>
      <rPr>
        <b/>
        <i/>
        <vertAlign val="subscript"/>
        <sz val="8"/>
        <rFont val="Times New Roman"/>
        <family val="1"/>
      </rPr>
      <t>1</t>
    </r>
    <r>
      <rPr>
        <b/>
        <i/>
        <sz val="8"/>
        <rFont val="Times New Roman"/>
        <family val="1"/>
      </rPr>
      <t xml:space="preserve">  /  ( A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n )</t>
    </r>
  </si>
  <si>
    <r>
      <t>P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 /  ( A </t>
    </r>
    <r>
      <rPr>
        <b/>
        <sz val="8"/>
        <rFont val="Times New Roman"/>
        <family val="1"/>
      </rPr>
      <t>×</t>
    </r>
    <r>
      <rPr>
        <b/>
        <i/>
        <sz val="8"/>
        <rFont val="Times New Roman"/>
        <family val="1"/>
      </rPr>
      <t xml:space="preserve"> n )</t>
    </r>
  </si>
  <si>
    <r>
      <rPr>
        <b/>
        <sz val="8"/>
        <rFont val="한컴돋움"/>
        <family val="1"/>
        <charset val="129"/>
      </rPr>
      <t>√</t>
    </r>
    <r>
      <rPr>
        <b/>
        <i/>
        <sz val="8"/>
        <rFont val="Times New Roman"/>
        <family val="1"/>
      </rPr>
      <t>( P</t>
    </r>
    <r>
      <rPr>
        <b/>
        <i/>
        <vertAlign val="subscript"/>
        <sz val="8"/>
        <rFont val="Times New Roman"/>
        <family val="1"/>
      </rPr>
      <t>1</t>
    </r>
    <r>
      <rPr>
        <b/>
        <i/>
        <vertAlign val="superscript"/>
        <sz val="8"/>
        <rFont val="Times New Roman"/>
        <family val="1"/>
      </rPr>
      <t xml:space="preserve">2 </t>
    </r>
    <r>
      <rPr>
        <b/>
        <i/>
        <sz val="8"/>
        <rFont val="Times New Roman"/>
        <family val="1"/>
      </rPr>
      <t>+ P</t>
    </r>
    <r>
      <rPr>
        <b/>
        <i/>
        <vertAlign val="subscript"/>
        <sz val="8"/>
        <rFont val="Times New Roman"/>
        <family val="1"/>
      </rPr>
      <t>2</t>
    </r>
    <r>
      <rPr>
        <b/>
        <i/>
        <vertAlign val="super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) / ( A </t>
    </r>
    <r>
      <rPr>
        <b/>
        <sz val="8"/>
        <rFont val="Times New Roman"/>
        <family val="1"/>
      </rPr>
      <t xml:space="preserve">× </t>
    </r>
    <r>
      <rPr>
        <b/>
        <i/>
        <sz val="8"/>
        <rFont val="Times New Roman"/>
        <family val="1"/>
      </rPr>
      <t>n )</t>
    </r>
    <r>
      <rPr>
        <b/>
        <i/>
        <sz val="8"/>
        <rFont val="Times New Roman"/>
        <family val="1"/>
        <charset val="129"/>
      </rPr>
      <t xml:space="preserve"> + M</t>
    </r>
    <r>
      <rPr>
        <b/>
        <i/>
        <vertAlign val="subscript"/>
        <sz val="8"/>
        <rFont val="Times New Roman"/>
        <family val="1"/>
      </rPr>
      <t>Z</t>
    </r>
    <r>
      <rPr>
        <b/>
        <i/>
        <sz val="8"/>
        <rFont val="Times New Roman"/>
        <family val="1"/>
        <charset val="129"/>
      </rPr>
      <t xml:space="preserve"> / ( J / b )</t>
    </r>
  </si>
  <si>
    <t>써머리</t>
    <phoneticPr fontId="3" type="noConversion"/>
  </si>
  <si>
    <t>RATIO</t>
    <phoneticPr fontId="3" type="noConversion"/>
  </si>
  <si>
    <t>(1) INPUT DATA</t>
    <phoneticPr fontId="4" type="noConversion"/>
  </si>
  <si>
    <t>입력선택</t>
    <phoneticPr fontId="3" type="noConversion"/>
  </si>
  <si>
    <t>번호</t>
    <phoneticPr fontId="3" type="noConversion"/>
  </si>
  <si>
    <t>Anchor Type</t>
    <phoneticPr fontId="3" type="noConversion"/>
  </si>
  <si>
    <t>WSA (표준 설치 깊이)</t>
    <phoneticPr fontId="3" type="noConversion"/>
  </si>
  <si>
    <t>=</t>
    <phoneticPr fontId="3" type="noConversion"/>
  </si>
  <si>
    <t>kN</t>
    <phoneticPr fontId="3" type="noConversion"/>
  </si>
  <si>
    <t>WSA (줄인 설치 깊이)</t>
    <phoneticPr fontId="3" type="noConversion"/>
  </si>
  <si>
    <t>앵커 이름</t>
    <phoneticPr fontId="3" type="noConversion"/>
  </si>
  <si>
    <t>전단 하중 방향에 대한 영향</t>
    <phoneticPr fontId="3" type="noConversion"/>
  </si>
  <si>
    <t>Stud  Anchor  Diameter</t>
    <phoneticPr fontId="112" type="noConversion"/>
  </si>
  <si>
    <t>( Stud Anchor Diameter )</t>
    <phoneticPr fontId="3" type="noConversion"/>
  </si>
  <si>
    <t>표 현</t>
    <phoneticPr fontId="3" type="noConversion"/>
  </si>
  <si>
    <t>Angle [°]</t>
    <phoneticPr fontId="3" type="noConversion"/>
  </si>
  <si>
    <t>n</t>
    <phoneticPr fontId="3" type="noConversion"/>
  </si>
  <si>
    <t>EA</t>
    <phoneticPr fontId="3" type="noConversion"/>
  </si>
  <si>
    <t>( Stud Anchor EA )</t>
    <phoneticPr fontId="3" type="noConversion"/>
  </si>
  <si>
    <t>제 거</t>
    <phoneticPr fontId="3" type="noConversion"/>
  </si>
  <si>
    <t>( Effective Embedment Depth )</t>
    <phoneticPr fontId="3" type="noConversion"/>
  </si>
  <si>
    <t xml:space="preserve"> </t>
    <phoneticPr fontId="3" type="noConversion"/>
  </si>
  <si>
    <t>( Final Embedment Depth )</t>
    <phoneticPr fontId="3" type="noConversion"/>
  </si>
  <si>
    <t>( Anchor Distance )</t>
    <phoneticPr fontId="3" type="noConversion"/>
  </si>
  <si>
    <t xml:space="preserve">mm </t>
    <phoneticPr fontId="3" type="noConversion"/>
  </si>
  <si>
    <t>( Edge Distance )</t>
    <phoneticPr fontId="3" type="noConversion"/>
  </si>
  <si>
    <t>( Concrete's Compressive Strength, MPa )</t>
    <phoneticPr fontId="3" type="noConversion"/>
  </si>
  <si>
    <t>( Compressive Distance )</t>
    <phoneticPr fontId="3" type="noConversion"/>
  </si>
  <si>
    <t>표준 설치 깊이 (최소 콘크리트 두께)</t>
    <phoneticPr fontId="3" type="noConversion"/>
  </si>
  <si>
    <t>줄인 설치 깊이 (최소 콘크리트 두께)</t>
    <phoneticPr fontId="3" type="noConversion"/>
  </si>
  <si>
    <t>표준 설치 깊이 (유효 설치 깊이)</t>
    <phoneticPr fontId="3" type="noConversion"/>
  </si>
  <si>
    <t>줄인 설치 깊이 (유효 설치 깊이)</t>
    <phoneticPr fontId="3" type="noConversion"/>
  </si>
  <si>
    <t>-. Pull-out Load</t>
    <phoneticPr fontId="3" type="noConversion"/>
  </si>
  <si>
    <t>Design Load</t>
    <phoneticPr fontId="3" type="noConversion"/>
  </si>
  <si>
    <t>Design Actual Load</t>
    <phoneticPr fontId="3" type="noConversion"/>
  </si>
  <si>
    <t>Design Allowable Load</t>
    <phoneticPr fontId="3" type="noConversion"/>
  </si>
  <si>
    <t>Ratio</t>
    <phoneticPr fontId="3" type="noConversion"/>
  </si>
  <si>
    <t>kN @ Stud Anchor</t>
    <phoneticPr fontId="3" type="noConversion"/>
  </si>
  <si>
    <t>-. Shear Load</t>
    <phoneticPr fontId="3" type="noConversion"/>
  </si>
  <si>
    <t>-. Combined Load</t>
    <phoneticPr fontId="3" type="noConversion"/>
  </si>
  <si>
    <t>Tan α</t>
    <phoneticPr fontId="4" type="noConversion"/>
  </si>
  <si>
    <t>(3) TENSION LOAD PART</t>
    <phoneticPr fontId="4" type="noConversion"/>
  </si>
  <si>
    <t>Set Anchor</t>
    <phoneticPr fontId="3" type="noConversion"/>
  </si>
  <si>
    <t>WSA</t>
    <phoneticPr fontId="3" type="noConversion"/>
  </si>
  <si>
    <t>-. Valid Design Tensile Load :</t>
    <phoneticPr fontId="3" type="noConversion"/>
  </si>
  <si>
    <t>유효설치깊이</t>
    <phoneticPr fontId="3" type="noConversion"/>
  </si>
  <si>
    <t>최소 앵커간의 간격(표준)</t>
    <phoneticPr fontId="3" type="noConversion"/>
  </si>
  <si>
    <t>최소앵커간격</t>
    <phoneticPr fontId="3" type="noConversion"/>
  </si>
  <si>
    <t>최소 앵커간의 간격(줄인)</t>
    <phoneticPr fontId="3" type="noConversion"/>
  </si>
  <si>
    <t>최소모서리거리</t>
    <phoneticPr fontId="3" type="noConversion"/>
  </si>
  <si>
    <t>최소 모서리 거리(표준)</t>
    <phoneticPr fontId="3" type="noConversion"/>
  </si>
  <si>
    <t>최대앵커간격</t>
    <phoneticPr fontId="3" type="noConversion"/>
  </si>
  <si>
    <t>최소 모서리 거리(줄인)</t>
    <phoneticPr fontId="3" type="noConversion"/>
  </si>
  <si>
    <t>:</t>
    <phoneticPr fontId="3" type="noConversion"/>
  </si>
  <si>
    <t>Con'c Cone Resistance</t>
    <phoneticPr fontId="3" type="noConversion"/>
  </si>
  <si>
    <t>최대모서리거리</t>
    <phoneticPr fontId="3" type="noConversion"/>
  </si>
  <si>
    <t>( Designed Cone Resistance )</t>
    <phoneticPr fontId="3" type="noConversion"/>
  </si>
  <si>
    <r>
      <t>N</t>
    </r>
    <r>
      <rPr>
        <b/>
        <i/>
        <vertAlign val="subscript"/>
        <sz val="8"/>
        <color indexed="12"/>
        <rFont val="한컴돋움"/>
        <family val="1"/>
        <charset val="129"/>
      </rPr>
      <t>b,Rd</t>
    </r>
  </si>
  <si>
    <t>( Factor of Con'c Strength )</t>
    <phoneticPr fontId="3" type="noConversion"/>
  </si>
  <si>
    <t>Tensile Load</t>
    <phoneticPr fontId="3" type="noConversion"/>
  </si>
  <si>
    <r>
      <rPr>
        <b/>
        <sz val="8"/>
        <color indexed="12"/>
        <rFont val="한컴돋움"/>
        <family val="1"/>
        <charset val="129"/>
      </rPr>
      <t>콘크리트 콘 설계 저항</t>
    </r>
    <r>
      <rPr>
        <b/>
        <i/>
        <sz val="9"/>
        <color indexed="12"/>
        <rFont val="Times New Roman"/>
        <family val="1"/>
      </rPr>
      <t/>
    </r>
  </si>
  <si>
    <t>( Factor of Standard Insertion Depth and Anchor Distance )</t>
    <phoneticPr fontId="3" type="noConversion"/>
  </si>
  <si>
    <t>콘크리트 콘 설계</t>
    <phoneticPr fontId="3" type="noConversion"/>
  </si>
  <si>
    <t>표준 삽입 깊이</t>
    <phoneticPr fontId="3" type="noConversion"/>
  </si>
  <si>
    <t>( Factor of Standard Insertion Depth and Edge Distance )</t>
    <phoneticPr fontId="3" type="noConversion"/>
  </si>
  <si>
    <t>콘크리트 콘 저항</t>
    <phoneticPr fontId="3" type="noConversion"/>
  </si>
  <si>
    <t>줄인 삽입 깊이</t>
    <phoneticPr fontId="3" type="noConversion"/>
  </si>
  <si>
    <t>강재의 인장 설계</t>
    <phoneticPr fontId="3" type="noConversion"/>
  </si>
  <si>
    <t>최종 인장 설계 저항</t>
    <phoneticPr fontId="3" type="noConversion"/>
  </si>
  <si>
    <r>
      <t>A</t>
    </r>
    <r>
      <rPr>
        <b/>
        <i/>
        <vertAlign val="subscript"/>
        <sz val="8"/>
        <color indexed="12"/>
        <rFont val="한컴돋움"/>
        <family val="1"/>
        <charset val="129"/>
      </rPr>
      <t>n</t>
    </r>
    <r>
      <rPr>
        <b/>
        <i/>
        <sz val="8"/>
        <color indexed="12"/>
        <rFont val="한컴돋움"/>
        <family val="1"/>
        <charset val="129"/>
      </rPr>
      <t>/A</t>
    </r>
    <r>
      <rPr>
        <b/>
        <i/>
        <vertAlign val="subscript"/>
        <sz val="8"/>
        <color indexed="12"/>
        <rFont val="한컴돋움"/>
        <family val="1"/>
        <charset val="129"/>
      </rPr>
      <t>no</t>
    </r>
  </si>
  <si>
    <t>Shear Load</t>
    <phoneticPr fontId="3" type="noConversion"/>
  </si>
  <si>
    <t>표준삽입깊이에서의 앵커간격 영향계수</t>
    <phoneticPr fontId="3" type="noConversion"/>
  </si>
  <si>
    <t>줄인삽입깊이에서의 앵커간격 영향계수</t>
    <phoneticPr fontId="3" type="noConversion"/>
  </si>
  <si>
    <t>Tensile Designed Resistance of Steel</t>
    <phoneticPr fontId="3" type="noConversion"/>
  </si>
  <si>
    <t>콘크리트 모서리 설계</t>
    <phoneticPr fontId="3" type="noConversion"/>
  </si>
  <si>
    <t>앵커간격</t>
    <phoneticPr fontId="3" type="noConversion"/>
  </si>
  <si>
    <t>콘크리트 모서리 저항</t>
    <phoneticPr fontId="3" type="noConversion"/>
  </si>
  <si>
    <t>강재의 전단 저항</t>
    <phoneticPr fontId="3" type="noConversion"/>
  </si>
  <si>
    <t>최종 설계 전단 저항</t>
    <phoneticPr fontId="3" type="noConversion"/>
  </si>
  <si>
    <t>-. Final Design Tensile Resistance :</t>
    <phoneticPr fontId="3" type="noConversion"/>
  </si>
  <si>
    <t>Factor</t>
    <phoneticPr fontId="3" type="noConversion"/>
  </si>
  <si>
    <r>
      <t>min</t>
    </r>
    <r>
      <rPr>
        <b/>
        <sz val="8"/>
        <rFont val="한컴돋움"/>
        <family val="1"/>
        <charset val="129"/>
      </rPr>
      <t>［</t>
    </r>
    <r>
      <rPr>
        <b/>
        <i/>
        <sz val="8"/>
        <rFont val="Times New Roman"/>
        <family val="1"/>
      </rPr>
      <t xml:space="preserve"> N</t>
    </r>
    <r>
      <rPr>
        <b/>
        <i/>
        <vertAlign val="subscript"/>
        <sz val="8"/>
        <rFont val="Times New Roman"/>
        <family val="1"/>
      </rPr>
      <t xml:space="preserve">b,Rd </t>
    </r>
    <r>
      <rPr>
        <b/>
        <i/>
        <sz val="8"/>
        <rFont val="Times New Roman"/>
        <family val="1"/>
      </rPr>
      <t>; N</t>
    </r>
    <r>
      <rPr>
        <b/>
        <i/>
        <vertAlign val="subscript"/>
        <sz val="8"/>
        <rFont val="Times New Roman"/>
        <family val="1"/>
      </rPr>
      <t>S,Rd</t>
    </r>
    <r>
      <rPr>
        <b/>
        <i/>
        <sz val="8"/>
        <rFont val="Times New Roman"/>
        <family val="1"/>
      </rPr>
      <t xml:space="preserve"> </t>
    </r>
    <r>
      <rPr>
        <b/>
        <sz val="8"/>
        <rFont val="한컴돋움"/>
        <family val="1"/>
        <charset val="129"/>
      </rPr>
      <t>］</t>
    </r>
    <r>
      <rPr>
        <b/>
        <i/>
        <sz val="8"/>
        <rFont val="Times New Roman"/>
        <family val="1"/>
      </rPr>
      <t>/  1.4</t>
    </r>
  </si>
  <si>
    <t>콘크리트 강도의 영향</t>
    <phoneticPr fontId="3" type="noConversion"/>
  </si>
  <si>
    <t>삽입깊이에서의 앵커간격 영향계수</t>
    <phoneticPr fontId="3" type="noConversion"/>
  </si>
  <si>
    <t>삽깊깊이에서의 연단거리 영향계수</t>
    <phoneticPr fontId="3" type="noConversion"/>
  </si>
  <si>
    <t>앵커 간격 및 연단거리 영향계수</t>
    <phoneticPr fontId="3" type="noConversion"/>
  </si>
  <si>
    <t>전단 하중방향에 대한 영향</t>
    <phoneticPr fontId="3" type="noConversion"/>
  </si>
  <si>
    <r>
      <t>Ψ</t>
    </r>
    <r>
      <rPr>
        <b/>
        <i/>
        <vertAlign val="subscript"/>
        <sz val="8"/>
        <color indexed="12"/>
        <rFont val="한컴돋움"/>
        <family val="1"/>
        <charset val="129"/>
      </rPr>
      <t>2</t>
    </r>
    <r>
      <rPr>
        <b/>
        <i/>
        <sz val="8"/>
        <color indexed="12"/>
        <rFont val="한컴돋움"/>
        <family val="1"/>
        <charset val="129"/>
      </rPr>
      <t xml:space="preserve"> </t>
    </r>
  </si>
  <si>
    <t>표준삽입깊이에서의 연단거리 영향계수</t>
    <phoneticPr fontId="3" type="noConversion"/>
  </si>
  <si>
    <t>줄인삽입깊이에서의 연단거리 영향계수</t>
    <phoneticPr fontId="3" type="noConversion"/>
  </si>
  <si>
    <t>연단거리</t>
    <phoneticPr fontId="3" type="noConversion"/>
  </si>
  <si>
    <t>(4) SHEAR LOAD PART</t>
    <phoneticPr fontId="4" type="noConversion"/>
  </si>
  <si>
    <t>-. Valid Design Shear Load :</t>
    <phoneticPr fontId="3" type="noConversion"/>
  </si>
  <si>
    <t>용어 해석</t>
    <phoneticPr fontId="3" type="noConversion"/>
  </si>
  <si>
    <t>콘크리트 뽑힘 저항 (PULL-OUT)</t>
    <phoneticPr fontId="3" type="noConversion"/>
  </si>
  <si>
    <t>Resistance of Con'c Edge</t>
    <phoneticPr fontId="3" type="noConversion"/>
  </si>
  <si>
    <t>콘크리트 cone 저항</t>
    <phoneticPr fontId="3" type="noConversion"/>
  </si>
  <si>
    <t>Designed Cone Resistance</t>
    <phoneticPr fontId="3" type="noConversion"/>
  </si>
  <si>
    <t>설계 cone 저항</t>
    <phoneticPr fontId="3" type="noConversion"/>
  </si>
  <si>
    <t>( Designed Resistance of Con'c Edge )</t>
    <phoneticPr fontId="3" type="noConversion"/>
  </si>
  <si>
    <t xml:space="preserve"> 선 택</t>
    <phoneticPr fontId="3" type="noConversion"/>
  </si>
  <si>
    <t>수 식</t>
    <phoneticPr fontId="3" type="noConversion"/>
  </si>
  <si>
    <t>설  명</t>
    <phoneticPr fontId="3" type="noConversion"/>
  </si>
  <si>
    <t>Shear Designed Resistance of Steel</t>
    <phoneticPr fontId="3" type="noConversion"/>
  </si>
  <si>
    <t>강재의 전단 설계 저항</t>
    <phoneticPr fontId="3" type="noConversion"/>
  </si>
  <si>
    <t>( Factor on the Direction of Shear Load )</t>
    <phoneticPr fontId="3" type="noConversion"/>
  </si>
  <si>
    <t>앵커 2개 이상</t>
    <phoneticPr fontId="3" type="noConversion"/>
  </si>
  <si>
    <t>( Factor of Anchor Spacing and Edge Distance )</t>
    <phoneticPr fontId="3" type="noConversion"/>
  </si>
  <si>
    <t>앵커 1개</t>
    <phoneticPr fontId="3" type="noConversion"/>
  </si>
  <si>
    <t xml:space="preserve">Designed PULL-OUT Resistance           </t>
    <phoneticPr fontId="3" type="noConversion"/>
  </si>
  <si>
    <t>콘크리트 뽑힘 설계 저항</t>
    <phoneticPr fontId="3" type="noConversion"/>
  </si>
  <si>
    <t>Factor of  Embedment Depth</t>
    <phoneticPr fontId="3" type="noConversion"/>
  </si>
  <si>
    <t>앵커 삽입 깊이에 대한 영향</t>
    <phoneticPr fontId="3" type="noConversion"/>
  </si>
  <si>
    <t>Factor of Standard Insertion Depth and Anchor Distance</t>
    <phoneticPr fontId="3" type="noConversion"/>
  </si>
  <si>
    <t>Factor of Standard Insertion Depth and Edge Distance</t>
    <phoneticPr fontId="3" type="noConversion"/>
  </si>
  <si>
    <t>Factor on the Direction of Shear Load</t>
    <phoneticPr fontId="3" type="noConversion"/>
  </si>
  <si>
    <t>Factor of Anchor Spacing and Edge Distance</t>
    <phoneticPr fontId="3" type="noConversion"/>
  </si>
  <si>
    <t>앵커간의 간격과 모서리 거리 영향에 대한 영향</t>
    <phoneticPr fontId="3" type="noConversion"/>
  </si>
  <si>
    <t>Factor of Con'c Strength</t>
    <phoneticPr fontId="3" type="noConversion"/>
  </si>
  <si>
    <t xml:space="preserve">콘크리트 강도의 영향  </t>
    <phoneticPr fontId="3" type="noConversion"/>
  </si>
  <si>
    <t>파괴요인 아님</t>
    <phoneticPr fontId="3" type="noConversion"/>
  </si>
  <si>
    <t>-. Final Design Shear Resistance :</t>
    <phoneticPr fontId="3" type="noConversion"/>
  </si>
  <si>
    <r>
      <t>min</t>
    </r>
    <r>
      <rPr>
        <b/>
        <i/>
        <sz val="8"/>
        <rFont val="한컴돋움"/>
        <family val="1"/>
        <charset val="129"/>
      </rPr>
      <t>［</t>
    </r>
    <r>
      <rPr>
        <b/>
        <i/>
        <sz val="8"/>
        <rFont val="Times New Roman"/>
        <family val="1"/>
      </rPr>
      <t xml:space="preserve"> V</t>
    </r>
    <r>
      <rPr>
        <b/>
        <i/>
        <vertAlign val="subscript"/>
        <sz val="8"/>
        <rFont val="Times New Roman"/>
        <family val="1"/>
      </rPr>
      <t xml:space="preserve">b,Rd </t>
    </r>
    <r>
      <rPr>
        <b/>
        <i/>
        <sz val="8"/>
        <rFont val="Times New Roman"/>
        <family val="1"/>
      </rPr>
      <t>; V</t>
    </r>
    <r>
      <rPr>
        <b/>
        <i/>
        <vertAlign val="subscript"/>
        <sz val="8"/>
        <rFont val="Times New Roman"/>
        <family val="1"/>
      </rPr>
      <t>s,Rd</t>
    </r>
    <r>
      <rPr>
        <b/>
        <i/>
        <sz val="8"/>
        <rFont val="Times New Roman"/>
        <family val="1"/>
      </rPr>
      <t xml:space="preserve"> </t>
    </r>
    <r>
      <rPr>
        <b/>
        <i/>
        <sz val="8"/>
        <rFont val="한컴돋움"/>
        <family val="1"/>
        <charset val="129"/>
      </rPr>
      <t>］</t>
    </r>
    <r>
      <rPr>
        <b/>
        <i/>
        <sz val="8"/>
        <rFont val="Times New Roman"/>
        <family val="1"/>
      </rPr>
      <t>/  1.4</t>
    </r>
  </si>
  <si>
    <t>(5) COMBINE LOAD</t>
    <phoneticPr fontId="4" type="noConversion"/>
  </si>
  <si>
    <t>(6) CHECK LOAD STABILITY</t>
    <phoneticPr fontId="3" type="noConversion"/>
  </si>
  <si>
    <t>금형두께</t>
  </si>
  <si>
    <t>STEEL
BOLT
BEARING</t>
  </si>
  <si>
    <t>금형 재질 (표 참고)</t>
  </si>
  <si>
    <t>BOLT BEARING 재질 표</t>
  </si>
  <si>
    <t>자중 저항거리 (d2)</t>
  </si>
  <si>
    <t>( Reaction Force 1  : 0.85*W.L × W × H )</t>
  </si>
  <si>
    <t>( Reaction Force 2  : D.L × W × H )</t>
  </si>
  <si>
    <t>-. CHECK FOR MAIN ANCHOR SYSTEM</t>
    <phoneticPr fontId="0" type="noConversion"/>
  </si>
  <si>
    <r>
      <t xml:space="preserve">포천시 가평군 하남시 성남시 </t>
    </r>
    <r>
      <rPr>
        <b/>
        <sz val="9"/>
        <color rgb="FFFFFF00"/>
        <rFont val="한컴돋움"/>
        <family val="1"/>
        <charset val="129"/>
      </rPr>
      <t>광주시</t>
    </r>
    <r>
      <rPr>
        <b/>
        <sz val="9"/>
        <rFont val="한컴돋움"/>
        <family val="1"/>
        <charset val="129"/>
      </rPr>
      <t xml:space="preserve"> 양평군 용인시</t>
    </r>
  </si>
  <si>
    <t>고양시 안양시 과천시 광명시 의정부시 동두천시 양주시 파주시 남양주시</t>
  </si>
  <si>
    <t>※ 건물의 높이가 20m미만인 경우, 지표면 조도는 무조건 'C' 또는 'D' 여야 한다.</t>
  </si>
  <si>
    <t>서울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</si>
</sst>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-* #,##0_-;\-* #,##0_-;_-* &quot;-&quot;_-;_-@_-"/>
    <numFmt numFmtId="176" formatCode="0.0"/>
    <numFmt numFmtId="177" formatCode="0.000_ "/>
    <numFmt numFmtId="178" formatCode="0.00_ "/>
    <numFmt numFmtId="179" formatCode="0.0_ "/>
    <numFmt numFmtId="180" formatCode="0.0_);[Red]\(0.0\)"/>
    <numFmt numFmtId="181" formatCode="_ * #,##0_ ;_ * \-#,##0_ ;_ * &quot;-&quot;_ ;_ @_ "/>
    <numFmt numFmtId="182" formatCode="_ * #,##0.00_ ;_ * \-#,##0.00_ ;_ * &quot;-&quot;??_ ;_ @_ "/>
    <numFmt numFmtId="183" formatCode="#,#00"/>
    <numFmt numFmtId="184" formatCode="0.0000"/>
    <numFmt numFmtId="185" formatCode="0.0%"/>
    <numFmt numFmtId="186" formatCode="0.000"/>
    <numFmt numFmtId="187" formatCode="0\ \)"/>
    <numFmt numFmtId="188" formatCode="0.00\ &quot;· Z&quot;"/>
    <numFmt numFmtId="189" formatCode="#,##0.0"/>
    <numFmt numFmtId="190" formatCode="0.00000"/>
    <numFmt numFmtId="191" formatCode="0.00_);[Red]\(0.00\)"/>
    <numFmt numFmtId="192" formatCode="&quot;Ø &quot;0"/>
    <numFmt numFmtId="193" formatCode="0_ "/>
    <numFmt numFmtId="194" formatCode="0_);[Red]\(0\)"/>
    <numFmt numFmtId="195" formatCode="0.0000_ "/>
    <numFmt numFmtId="196" formatCode="0.0000_);[Red]\(0.0000\)"/>
    <numFmt numFmtId="197" formatCode="&quot;L  / &quot;0"/>
    <numFmt numFmtId="198" formatCode="0.0000000"/>
    <numFmt numFmtId="199" formatCode="0_E\E\A"/>
    <numFmt numFmtId="200" formatCode="#,##0.000"/>
    <numFmt numFmtId="201" formatCode="0&quot; mm&quot;"/>
    <numFmt numFmtId="202" formatCode="0&quot; mm²&quot;"/>
    <numFmt numFmtId="203" formatCode="0&quot; EA&quot;"/>
    <numFmt numFmtId="204" formatCode="0&quot; SIDE&quot;"/>
  </numFmts>
  <fonts count="12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"/>
      <family val="1"/>
      <charset val="129"/>
    </font>
    <font>
      <b/>
      <sz val="11"/>
      <name val="한컴바탕"/>
      <family val="1"/>
      <charset val="129"/>
    </font>
    <font>
      <b/>
      <sz val="12"/>
      <name val="한컴바탕"/>
      <family val="1"/>
      <charset val="129"/>
    </font>
    <font>
      <b/>
      <vertAlign val="superscript"/>
      <sz val="12"/>
      <name val="한컴바탕"/>
      <family val="1"/>
      <charset val="129"/>
    </font>
    <font>
      <b/>
      <vertAlign val="subscript"/>
      <sz val="12"/>
      <name val="한컴바탕"/>
      <family val="1"/>
      <charset val="129"/>
    </font>
    <font>
      <b/>
      <sz val="16"/>
      <name val="바탕체"/>
      <family val="1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b/>
      <sz val="9"/>
      <name val="한컴돋움"/>
      <family val="1"/>
      <charset val="129"/>
    </font>
    <font>
      <b/>
      <sz val="20"/>
      <name val="한컴돋움"/>
      <family val="1"/>
      <charset val="129"/>
    </font>
    <font>
      <sz val="8"/>
      <name val="맑은 고딕"/>
      <family val="3"/>
      <charset val="129"/>
    </font>
    <font>
      <b/>
      <sz val="9"/>
      <color indexed="8"/>
      <name val="한컴돋움"/>
      <family val="1"/>
      <charset val="129"/>
    </font>
    <font>
      <b/>
      <i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i/>
      <vertAlign val="subscript"/>
      <sz val="9"/>
      <color indexed="8"/>
      <name val="Times New Roman"/>
      <family val="1"/>
    </font>
    <font>
      <b/>
      <vertAlign val="superscript"/>
      <sz val="9"/>
      <color indexed="8"/>
      <name val="한컴돋움"/>
      <family val="1"/>
      <charset val="129"/>
    </font>
    <font>
      <b/>
      <i/>
      <sz val="10"/>
      <color indexed="8"/>
      <name val="Times New Roman"/>
      <family val="1"/>
    </font>
    <font>
      <b/>
      <i/>
      <vertAlign val="subscript"/>
      <sz val="10"/>
      <color indexed="8"/>
      <name val="Times New Roman"/>
      <family val="1"/>
    </font>
    <font>
      <b/>
      <vertAlign val="subscript"/>
      <sz val="10"/>
      <color indexed="8"/>
      <name val="한컴돋움"/>
      <family val="1"/>
      <charset val="129"/>
    </font>
    <font>
      <b/>
      <sz val="10"/>
      <color indexed="8"/>
      <name val="한컴돋움"/>
      <family val="1"/>
      <charset val="129"/>
    </font>
    <font>
      <b/>
      <i/>
      <vertAlign val="superscript"/>
      <sz val="9"/>
      <name val="Times New Roman"/>
      <family val="1"/>
    </font>
    <font>
      <b/>
      <i/>
      <sz val="9"/>
      <name val="Times New Roman"/>
      <family val="1"/>
    </font>
    <font>
      <b/>
      <i/>
      <vertAlign val="subscript"/>
      <sz val="9"/>
      <name val="Times New Roman"/>
      <family val="1"/>
    </font>
    <font>
      <b/>
      <sz val="10"/>
      <name val="한컴돋움"/>
      <family val="1"/>
      <charset val="129"/>
    </font>
    <font>
      <b/>
      <vertAlign val="subscript"/>
      <sz val="9"/>
      <color indexed="8"/>
      <name val="한컴돋움"/>
      <family val="1"/>
      <charset val="129"/>
    </font>
    <font>
      <b/>
      <sz val="12"/>
      <name val="한컴돋움"/>
      <family val="1"/>
      <charset val="129"/>
    </font>
    <font>
      <b/>
      <vertAlign val="superscript"/>
      <sz val="9"/>
      <name val="한컴돋움"/>
      <family val="1"/>
      <charset val="129"/>
    </font>
    <font>
      <b/>
      <vertAlign val="subscript"/>
      <sz val="9"/>
      <name val="한컴돋움"/>
      <family val="1"/>
      <charset val="129"/>
    </font>
    <font>
      <sz val="9"/>
      <name val="한컴돋움"/>
      <family val="1"/>
      <charset val="129"/>
    </font>
    <font>
      <b/>
      <sz val="9"/>
      <color indexed="10"/>
      <name val="한컴돋움"/>
      <family val="1"/>
      <charset val="129"/>
    </font>
    <font>
      <b/>
      <sz val="9"/>
      <color indexed="12"/>
      <name val="한컴돋움"/>
      <family val="1"/>
      <charset val="129"/>
    </font>
    <font>
      <b/>
      <sz val="9"/>
      <name val="Times New Roman"/>
      <family val="1"/>
    </font>
    <font>
      <b/>
      <sz val="9"/>
      <name val="돋움"/>
      <family val="3"/>
      <charset val="129"/>
    </font>
    <font>
      <b/>
      <vertAlign val="subscript"/>
      <sz val="9"/>
      <name val="Times New Roman"/>
      <family val="1"/>
    </font>
    <font>
      <b/>
      <i/>
      <vertAlign val="superscript"/>
      <sz val="9"/>
      <color indexed="8"/>
      <name val="Times New Roman"/>
      <family val="1"/>
    </font>
    <font>
      <b/>
      <sz val="9"/>
      <name val="한컴바탕"/>
      <family val="1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rgb="FFC00000"/>
      <name val="한컴돋움"/>
      <family val="1"/>
      <charset val="129"/>
    </font>
    <font>
      <b/>
      <sz val="9"/>
      <color theme="1"/>
      <name val="한컴돋움"/>
      <family val="1"/>
      <charset val="129"/>
    </font>
    <font>
      <b/>
      <sz val="12"/>
      <color theme="1"/>
      <name val="한컴돋움"/>
      <family val="1"/>
      <charset val="129"/>
    </font>
    <font>
      <b/>
      <sz val="10"/>
      <color theme="1"/>
      <name val="한컴돋움"/>
      <family val="1"/>
      <charset val="129"/>
    </font>
    <font>
      <sz val="9"/>
      <color theme="1"/>
      <name val="한컴돋움"/>
      <family val="1"/>
      <charset val="129"/>
    </font>
    <font>
      <b/>
      <sz val="8"/>
      <color theme="1"/>
      <name val="한컴돋움"/>
      <family val="1"/>
      <charset val="129"/>
    </font>
    <font>
      <b/>
      <i/>
      <sz val="9"/>
      <color theme="1"/>
      <name val="Times New Roman"/>
      <family val="1"/>
    </font>
    <font>
      <b/>
      <sz val="9"/>
      <color rgb="FF0000FF"/>
      <name val="한컴돋움"/>
      <family val="1"/>
      <charset val="129"/>
    </font>
    <font>
      <b/>
      <sz val="9"/>
      <color rgb="FFFF0000"/>
      <name val="한컴돋움"/>
      <family val="1"/>
      <charset val="129"/>
    </font>
    <font>
      <b/>
      <sz val="9"/>
      <color rgb="FFD00000"/>
      <name val="한컴돋움"/>
      <family val="1"/>
      <charset val="129"/>
    </font>
    <font>
      <b/>
      <sz val="9"/>
      <color rgb="FF0033CC"/>
      <name val="한컴돋움"/>
      <family val="1"/>
      <charset val="129"/>
    </font>
    <font>
      <sz val="9"/>
      <color rgb="FF0033CC"/>
      <name val="한컴돋움"/>
      <family val="1"/>
      <charset val="129"/>
    </font>
    <font>
      <b/>
      <sz val="9"/>
      <color rgb="FFC00000"/>
      <name val="한컴바탕"/>
      <family val="1"/>
      <charset val="129"/>
    </font>
    <font>
      <b/>
      <sz val="9"/>
      <color indexed="18"/>
      <name val="한컴돋움"/>
      <family val="1"/>
      <charset val="129"/>
    </font>
    <font>
      <b/>
      <i/>
      <sz val="9"/>
      <color rgb="FFC00000"/>
      <name val="Times New Roman"/>
      <family val="1"/>
    </font>
    <font>
      <b/>
      <vertAlign val="subscript"/>
      <sz val="9"/>
      <name val="한컴바탕"/>
      <family val="1"/>
      <charset val="129"/>
    </font>
    <font>
      <b/>
      <sz val="9"/>
      <color rgb="FF0000FF"/>
      <name val="한컴바탕"/>
      <family val="1"/>
      <charset val="129"/>
    </font>
    <font>
      <b/>
      <i/>
      <sz val="9"/>
      <name val="한컴돋움"/>
      <family val="1"/>
      <charset val="129"/>
    </font>
    <font>
      <b/>
      <sz val="9"/>
      <color indexed="10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b/>
      <sz val="9"/>
      <color rgb="FFFFFF00"/>
      <name val="한컴돋움"/>
      <family val="1"/>
      <charset val="129"/>
    </font>
    <font>
      <b/>
      <sz val="8"/>
      <color rgb="FF0000FF"/>
      <name val="한컴돋움"/>
      <family val="1"/>
      <charset val="129"/>
    </font>
    <font>
      <b/>
      <sz val="8"/>
      <color rgb="FFFF0000"/>
      <name val="한컴돋움"/>
      <family val="1"/>
      <charset val="129"/>
    </font>
    <font>
      <b/>
      <i/>
      <sz val="10"/>
      <name val="Times New Roman"/>
      <family val="1"/>
    </font>
    <font>
      <b/>
      <i/>
      <vertAlign val="subscript"/>
      <sz val="10"/>
      <name val="Times New Roman"/>
      <family val="1"/>
    </font>
    <font>
      <b/>
      <sz val="10"/>
      <name val="Times New Roman"/>
      <family val="1"/>
    </font>
    <font>
      <b/>
      <i/>
      <vertAlign val="superscript"/>
      <sz val="11"/>
      <color indexed="8"/>
      <name val="Times New Roman"/>
      <family val="1"/>
    </font>
    <font>
      <b/>
      <i/>
      <sz val="10"/>
      <color rgb="FFC00000"/>
      <name val="Times New Roman"/>
      <family val="1"/>
    </font>
    <font>
      <b/>
      <sz val="10"/>
      <color indexed="60"/>
      <name val="한컴돋움"/>
      <family val="1"/>
      <charset val="129"/>
    </font>
    <font>
      <b/>
      <i/>
      <sz val="10"/>
      <color indexed="60"/>
      <name val="Times New Roman"/>
      <family val="1"/>
    </font>
    <font>
      <b/>
      <i/>
      <vertAlign val="subscript"/>
      <sz val="10"/>
      <color indexed="60"/>
      <name val="Times New Roman"/>
      <family val="1"/>
    </font>
    <font>
      <b/>
      <sz val="10"/>
      <color indexed="60"/>
      <name val="Times New Roman"/>
      <family val="1"/>
    </font>
    <font>
      <b/>
      <vertAlign val="superscript"/>
      <sz val="10"/>
      <color indexed="60"/>
      <name val="Times New Roman"/>
      <family val="1"/>
    </font>
    <font>
      <b/>
      <sz val="10"/>
      <color rgb="FFC00000"/>
      <name val="Times New Roman"/>
      <family val="1"/>
    </font>
    <font>
      <b/>
      <sz val="9"/>
      <name val="바탕"/>
      <family val="1"/>
      <charset val="129"/>
    </font>
    <font>
      <b/>
      <i/>
      <sz val="9"/>
      <color rgb="FF0033CC"/>
      <name val="Times New Roman"/>
      <family val="1"/>
    </font>
    <font>
      <b/>
      <sz val="8"/>
      <name val="한컴돋움"/>
      <family val="1"/>
      <charset val="129"/>
    </font>
    <font>
      <b/>
      <vertAlign val="superscript"/>
      <sz val="9"/>
      <color theme="1"/>
      <name val="한컴돋움"/>
      <family val="1"/>
      <charset val="129"/>
    </font>
    <font>
      <b/>
      <i/>
      <vertAlign val="subscript"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8"/>
      <color rgb="FFC00000"/>
      <name val="한컴돋움"/>
      <family val="1"/>
      <charset val="129"/>
    </font>
    <font>
      <b/>
      <sz val="8"/>
      <color theme="0"/>
      <name val="한컴돋움"/>
      <family val="1"/>
      <charset val="129"/>
    </font>
    <font>
      <b/>
      <i/>
      <sz val="8"/>
      <name val="Times New Roman"/>
      <family val="1"/>
    </font>
    <font>
      <b/>
      <i/>
      <vertAlign val="subscript"/>
      <sz val="8"/>
      <name val="Times New Roman"/>
      <family val="1"/>
    </font>
    <font>
      <b/>
      <sz val="8"/>
      <color indexed="22"/>
      <name val="한컴돋움"/>
      <family val="1"/>
      <charset val="129"/>
    </font>
    <font>
      <b/>
      <sz val="8"/>
      <name val="한컴바탕"/>
      <family val="1"/>
      <charset val="129"/>
    </font>
    <font>
      <b/>
      <i/>
      <sz val="8"/>
      <name val="Times New Roman"/>
      <family val="1"/>
      <charset val="129"/>
    </font>
    <font>
      <b/>
      <i/>
      <vertAlign val="superscript"/>
      <sz val="8"/>
      <name val="Times New Roman"/>
      <family val="1"/>
    </font>
    <font>
      <b/>
      <vertAlign val="superscript"/>
      <sz val="8"/>
      <name val="한컴돋움"/>
      <family val="1"/>
      <charset val="129"/>
    </font>
    <font>
      <b/>
      <sz val="8"/>
      <name val="Times New Roman"/>
      <family val="1"/>
    </font>
    <font>
      <b/>
      <vertAlign val="subscript"/>
      <sz val="8"/>
      <name val="한컴돋움"/>
      <family val="1"/>
      <charset val="129"/>
    </font>
    <font>
      <b/>
      <sz val="8"/>
      <color rgb="FFC00000"/>
      <name val="한컴바탕"/>
      <family val="1"/>
      <charset val="129"/>
    </font>
    <font>
      <b/>
      <i/>
      <sz val="8"/>
      <name val="맑은 고딕"/>
      <family val="3"/>
      <charset val="129"/>
    </font>
    <font>
      <b/>
      <i/>
      <sz val="8"/>
      <name val="한컴돋움"/>
      <family val="1"/>
      <charset val="129"/>
    </font>
    <font>
      <b/>
      <sz val="8"/>
      <name val="바탕"/>
      <family val="1"/>
      <charset val="129"/>
    </font>
    <font>
      <b/>
      <i/>
      <sz val="8"/>
      <color rgb="FF0000FF"/>
      <name val="한컴돋움"/>
      <family val="1"/>
      <charset val="129"/>
    </font>
    <font>
      <b/>
      <sz val="8"/>
      <color rgb="FF0000FF"/>
      <name val="한컴바탕"/>
      <family val="1"/>
      <charset val="129"/>
    </font>
    <font>
      <b/>
      <vertAlign val="subscript"/>
      <sz val="8"/>
      <name val="Times New Roman"/>
      <family val="1"/>
    </font>
    <font>
      <b/>
      <i/>
      <vertAlign val="subscript"/>
      <sz val="8"/>
      <name val="한컴돋움"/>
      <family val="1"/>
      <charset val="129"/>
    </font>
    <font>
      <sz val="8"/>
      <name val="한컴돋움"/>
      <family val="1"/>
      <charset val="129"/>
    </font>
    <font>
      <sz val="8"/>
      <name val="Times New Roman"/>
      <family val="1"/>
    </font>
    <font>
      <vertAlign val="subscript"/>
      <sz val="8"/>
      <name val="Times New Roman"/>
      <family val="1"/>
    </font>
    <font>
      <sz val="8"/>
      <name val="한컴바탕"/>
      <family val="1"/>
      <charset val="129"/>
    </font>
    <font>
      <vertAlign val="subscript"/>
      <sz val="8"/>
      <name val="바탕"/>
      <family val="1"/>
      <charset val="129"/>
    </font>
    <font>
      <b/>
      <vertAlign val="subscript"/>
      <sz val="8"/>
      <name val="한컴바탕"/>
      <family val="1"/>
      <charset val="129"/>
    </font>
    <font>
      <b/>
      <sz val="8"/>
      <color indexed="10"/>
      <name val="한컴바탕"/>
      <family val="1"/>
      <charset val="129"/>
    </font>
    <font>
      <b/>
      <sz val="7"/>
      <color rgb="FF0000FF"/>
      <name val="한컴돋움"/>
      <family val="1"/>
      <charset val="129"/>
    </font>
    <font>
      <i/>
      <vertAlign val="subscript"/>
      <sz val="8"/>
      <name val="한컴돋움"/>
      <family val="1"/>
      <charset val="129"/>
    </font>
    <font>
      <b/>
      <i/>
      <sz val="9"/>
      <color indexed="12"/>
      <name val="Times New Roman"/>
      <family val="1"/>
    </font>
    <font>
      <b/>
      <i/>
      <vertAlign val="superscript"/>
      <sz val="8"/>
      <name val="한컴돋움"/>
      <family val="1"/>
      <charset val="129"/>
    </font>
    <font>
      <b/>
      <sz val="8"/>
      <color rgb="FFFF0000"/>
      <name val="한컴바탕"/>
      <family val="1"/>
      <charset val="129"/>
    </font>
    <font>
      <i/>
      <vertAlign val="subscript"/>
      <sz val="8"/>
      <name val="Times New Roman"/>
      <family val="1"/>
    </font>
    <font>
      <b/>
      <sz val="7"/>
      <name val="한컴돋움"/>
      <family val="1"/>
      <charset val="129"/>
    </font>
    <font>
      <b/>
      <sz val="8"/>
      <name val="한컴돋움"/>
      <family val="3"/>
      <charset val="129"/>
    </font>
    <font>
      <b/>
      <sz val="8"/>
      <name val="돋움"/>
      <family val="3"/>
      <charset val="129"/>
    </font>
    <font>
      <b/>
      <i/>
      <sz val="9"/>
      <name val="Times New Roman"/>
      <family val="1"/>
      <charset val="129"/>
    </font>
    <font>
      <b/>
      <u/>
      <sz val="9"/>
      <color theme="0" tint="-0.499984740745262"/>
      <name val="한컴돋움"/>
      <family val="1"/>
      <charset val="129"/>
    </font>
    <font>
      <b/>
      <u/>
      <sz val="9"/>
      <color theme="0" tint="-0.34998626667073579"/>
      <name val="한컴돋움"/>
      <family val="1"/>
      <charset val="129"/>
    </font>
    <font>
      <sz val="8"/>
      <name val="Times New Roman"/>
      <family val="1"/>
      <charset val="129"/>
    </font>
    <font>
      <b/>
      <sz val="8"/>
      <name val="Times New Roman"/>
      <family val="1"/>
      <charset val="129"/>
    </font>
    <font>
      <b/>
      <sz val="10"/>
      <name val="Times New Roman"/>
      <family val="1"/>
      <charset val="129"/>
    </font>
    <font>
      <b/>
      <i/>
      <vertAlign val="superscript"/>
      <sz val="8"/>
      <name val="Times New Roman"/>
      <family val="1"/>
      <charset val="129"/>
    </font>
    <font>
      <b/>
      <sz val="8"/>
      <color rgb="FF7030A0"/>
      <name val="한컴돋움"/>
      <family val="1"/>
      <charset val="129"/>
    </font>
    <font>
      <b/>
      <i/>
      <vertAlign val="subscript"/>
      <sz val="8"/>
      <color indexed="12"/>
      <name val="한컴돋움"/>
      <family val="1"/>
      <charset val="129"/>
    </font>
    <font>
      <b/>
      <sz val="8"/>
      <color indexed="12"/>
      <name val="한컴돋움"/>
      <family val="1"/>
      <charset val="129"/>
    </font>
    <font>
      <b/>
      <i/>
      <sz val="8"/>
      <color indexed="12"/>
      <name val="한컴돋움"/>
      <family val="1"/>
      <charset val="129"/>
    </font>
    <font>
      <b/>
      <u/>
      <sz val="9"/>
      <color rgb="FFC00000"/>
      <name val="한컴돋움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02">
    <xf numFmtId="0" fontId="0" fillId="0" borderId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/>
    <xf numFmtId="41" fontId="8" fillId="0" borderId="0" applyFont="0" applyFill="0" applyBorder="0" applyAlignment="0" applyProtection="0"/>
  </cellStyleXfs>
  <cellXfs count="866">
    <xf numFmtId="0" fontId="0" fillId="0" borderId="0" xfId="0"/>
    <xf numFmtId="0" fontId="41" fillId="0" borderId="0" xfId="177" applyFo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176" fontId="25" fillId="0" borderId="0" xfId="0" applyNumberFormat="1" applyFont="1" applyAlignment="1">
      <alignment horizontal="left" vertical="center"/>
    </xf>
    <xf numFmtId="176" fontId="23" fillId="0" borderId="0" xfId="0" applyNumberFormat="1" applyFont="1" applyAlignment="1">
      <alignment horizontal="left" vertical="center"/>
    </xf>
    <xf numFmtId="176" fontId="47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2" fontId="32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41" fillId="0" borderId="0" xfId="0" applyNumberFormat="1" applyFont="1" applyAlignment="1">
      <alignment vertical="center"/>
    </xf>
    <xf numFmtId="2" fontId="10" fillId="0" borderId="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2" fontId="10" fillId="0" borderId="19" xfId="0" applyNumberFormat="1" applyFont="1" applyBorder="1" applyAlignment="1">
      <alignment horizontal="center" vertical="center"/>
    </xf>
    <xf numFmtId="186" fontId="41" fillId="0" borderId="0" xfId="0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2" fontId="23" fillId="0" borderId="0" xfId="0" applyNumberFormat="1" applyFont="1" applyAlignment="1">
      <alignment horizontal="left" vertical="center"/>
    </xf>
    <xf numFmtId="2" fontId="37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quotePrefix="1" applyNumberFormat="1" applyFont="1" applyAlignment="1">
      <alignment horizontal="center" vertical="center"/>
    </xf>
    <xf numFmtId="2" fontId="25" fillId="0" borderId="0" xfId="0" applyNumberFormat="1" applyFont="1" applyAlignment="1">
      <alignment vertical="center"/>
    </xf>
    <xf numFmtId="186" fontId="10" fillId="0" borderId="0" xfId="0" applyNumberFormat="1" applyFont="1" applyAlignment="1">
      <alignment vertical="center"/>
    </xf>
    <xf numFmtId="2" fontId="47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 vertical="center"/>
    </xf>
    <xf numFmtId="2" fontId="10" fillId="0" borderId="0" xfId="0" applyNumberFormat="1" applyFont="1"/>
    <xf numFmtId="2" fontId="47" fillId="0" borderId="4" xfId="0" applyNumberFormat="1" applyFont="1" applyBorder="1" applyAlignment="1">
      <alignment horizontal="right" vertical="center"/>
    </xf>
    <xf numFmtId="2" fontId="37" fillId="0" borderId="0" xfId="0" applyNumberFormat="1" applyFont="1" applyAlignment="1">
      <alignment horizontal="left" vertical="center"/>
    </xf>
    <xf numFmtId="2" fontId="37" fillId="0" borderId="0" xfId="0" applyNumberFormat="1" applyFont="1" applyAlignment="1">
      <alignment vertical="center"/>
    </xf>
    <xf numFmtId="2" fontId="37" fillId="0" borderId="0" xfId="0" quotePrefix="1" applyNumberFormat="1" applyFont="1" applyAlignment="1">
      <alignment horizontal="left" vertical="center"/>
    </xf>
    <xf numFmtId="2" fontId="10" fillId="0" borderId="0" xfId="0" quotePrefix="1" applyNumberFormat="1" applyFont="1" applyAlignment="1">
      <alignment horizontal="left" vertical="center"/>
    </xf>
    <xf numFmtId="2" fontId="47" fillId="0" borderId="0" xfId="0" applyNumberFormat="1" applyFont="1" applyAlignment="1">
      <alignment horizontal="right" vertical="center"/>
    </xf>
    <xf numFmtId="2" fontId="10" fillId="0" borderId="0" xfId="864" applyNumberFormat="1" applyFont="1" applyAlignment="1">
      <alignment vertical="center"/>
    </xf>
    <xf numFmtId="2" fontId="37" fillId="0" borderId="0" xfId="0" applyNumberFormat="1" applyFont="1" applyAlignment="1">
      <alignment horizontal="right" vertical="center"/>
    </xf>
    <xf numFmtId="2" fontId="37" fillId="0" borderId="7" xfId="0" applyNumberFormat="1" applyFont="1" applyBorder="1" applyAlignment="1">
      <alignment horizontal="right" vertical="center"/>
    </xf>
    <xf numFmtId="2" fontId="37" fillId="0" borderId="3" xfId="0" applyNumberFormat="1" applyFont="1" applyBorder="1" applyAlignment="1">
      <alignment horizontal="center" vertical="center"/>
    </xf>
    <xf numFmtId="2" fontId="37" fillId="0" borderId="7" xfId="0" applyNumberFormat="1" applyFont="1" applyBorder="1" applyAlignment="1">
      <alignment horizontal="center" vertical="center"/>
    </xf>
    <xf numFmtId="2" fontId="52" fillId="0" borderId="7" xfId="0" applyNumberFormat="1" applyFont="1" applyBorder="1" applyAlignment="1">
      <alignment horizontal="center" vertical="center"/>
    </xf>
    <xf numFmtId="2" fontId="23" fillId="0" borderId="5" xfId="0" applyNumberFormat="1" applyFont="1" applyBorder="1" applyAlignment="1">
      <alignment horizontal="left" vertical="top"/>
    </xf>
    <xf numFmtId="2" fontId="37" fillId="0" borderId="22" xfId="0" applyNumberFormat="1" applyFont="1" applyBorder="1" applyAlignment="1">
      <alignment horizontal="right" vertical="center"/>
    </xf>
    <xf numFmtId="2" fontId="37" fillId="0" borderId="6" xfId="0" applyNumberFormat="1" applyFont="1" applyBorder="1" applyAlignment="1">
      <alignment horizontal="center" vertical="center"/>
    </xf>
    <xf numFmtId="2" fontId="37" fillId="0" borderId="9" xfId="0" applyNumberFormat="1" applyFont="1" applyBorder="1" applyAlignment="1">
      <alignment horizontal="center" vertical="center"/>
    </xf>
    <xf numFmtId="2" fontId="52" fillId="0" borderId="22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52" fillId="0" borderId="9" xfId="0" applyNumberFormat="1" applyFont="1" applyBorder="1" applyAlignment="1">
      <alignment horizontal="center" vertical="center"/>
    </xf>
    <xf numFmtId="2" fontId="37" fillId="0" borderId="9" xfId="0" applyNumberFormat="1" applyFont="1" applyBorder="1" applyAlignment="1">
      <alignment horizontal="right" vertical="center"/>
    </xf>
    <xf numFmtId="2" fontId="56" fillId="0" borderId="23" xfId="0" applyNumberFormat="1" applyFont="1" applyBorder="1" applyAlignment="1">
      <alignment horizontal="center" vertical="center"/>
    </xf>
    <xf numFmtId="2" fontId="56" fillId="0" borderId="24" xfId="0" applyNumberFormat="1" applyFont="1" applyBorder="1" applyAlignment="1">
      <alignment horizontal="center" vertical="center"/>
    </xf>
    <xf numFmtId="176" fontId="10" fillId="5" borderId="0" xfId="0" applyNumberFormat="1" applyFont="1" applyFill="1" applyAlignment="1">
      <alignment vertical="center"/>
    </xf>
    <xf numFmtId="2" fontId="10" fillId="0" borderId="0" xfId="0" quotePrefix="1" applyNumberFormat="1" applyFont="1" applyAlignment="1">
      <alignment horizontal="right" vertical="center"/>
    </xf>
    <xf numFmtId="2" fontId="10" fillId="0" borderId="0" xfId="0" quotePrefix="1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2" fontId="23" fillId="0" borderId="16" xfId="0" applyNumberFormat="1" applyFont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 vertical="center"/>
    </xf>
    <xf numFmtId="2" fontId="34" fillId="0" borderId="16" xfId="0" applyNumberFormat="1" applyFont="1" applyBorder="1" applyAlignment="1">
      <alignment horizontal="center" vertical="center"/>
    </xf>
    <xf numFmtId="2" fontId="58" fillId="0" borderId="0" xfId="0" applyNumberFormat="1" applyFont="1" applyAlignment="1">
      <alignment vertical="center"/>
    </xf>
    <xf numFmtId="2" fontId="59" fillId="0" borderId="0" xfId="0" applyNumberFormat="1" applyFont="1" applyAlignment="1">
      <alignment vertical="center"/>
    </xf>
    <xf numFmtId="2" fontId="27" fillId="0" borderId="0" xfId="0" quotePrefix="1" applyNumberFormat="1" applyFont="1" applyAlignment="1">
      <alignment vertical="center"/>
    </xf>
    <xf numFmtId="2" fontId="25" fillId="0" borderId="0" xfId="0" applyNumberFormat="1" applyFont="1" applyAlignment="1">
      <alignment horizontal="left" vertical="center"/>
    </xf>
    <xf numFmtId="2" fontId="23" fillId="0" borderId="0" xfId="0" applyNumberFormat="1" applyFont="1" applyAlignment="1">
      <alignment vertical="center"/>
    </xf>
    <xf numFmtId="2" fontId="41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right" vertical="center"/>
    </xf>
    <xf numFmtId="2" fontId="30" fillId="0" borderId="0" xfId="0" applyNumberFormat="1" applyFont="1" applyAlignment="1">
      <alignment vertical="center"/>
    </xf>
    <xf numFmtId="2" fontId="30" fillId="0" borderId="0" xfId="0" quotePrefix="1" applyNumberFormat="1" applyFont="1" applyAlignment="1">
      <alignment vertical="center"/>
    </xf>
    <xf numFmtId="2" fontId="33" fillId="5" borderId="0" xfId="0" applyNumberFormat="1" applyFont="1" applyFill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left" vertical="center"/>
    </xf>
    <xf numFmtId="2" fontId="10" fillId="0" borderId="17" xfId="0" applyNumberFormat="1" applyFont="1" applyBorder="1" applyAlignment="1">
      <alignment horizontal="left" vertical="center"/>
    </xf>
    <xf numFmtId="2" fontId="23" fillId="0" borderId="18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left" vertical="center"/>
    </xf>
    <xf numFmtId="2" fontId="30" fillId="0" borderId="0" xfId="0" applyNumberFormat="1" applyFont="1" applyAlignment="1">
      <alignment horizontal="center" vertical="center"/>
    </xf>
    <xf numFmtId="2" fontId="41" fillId="0" borderId="0" xfId="0" applyNumberFormat="1" applyFont="1" applyAlignment="1">
      <alignment horizontal="right"/>
    </xf>
    <xf numFmtId="2" fontId="10" fillId="0" borderId="16" xfId="0" applyNumberFormat="1" applyFont="1" applyBorder="1" applyAlignment="1">
      <alignment vertical="center"/>
    </xf>
    <xf numFmtId="2" fontId="10" fillId="0" borderId="17" xfId="0" quotePrefix="1" applyNumberFormat="1" applyFont="1" applyBorder="1" applyAlignment="1">
      <alignment horizontal="right"/>
    </xf>
    <xf numFmtId="2" fontId="10" fillId="0" borderId="19" xfId="0" applyNumberFormat="1" applyFont="1" applyBorder="1" applyAlignment="1">
      <alignment vertical="center"/>
    </xf>
    <xf numFmtId="2" fontId="10" fillId="0" borderId="18" xfId="0" applyNumberFormat="1" applyFont="1" applyBorder="1" applyAlignment="1">
      <alignment vertical="center"/>
    </xf>
    <xf numFmtId="2" fontId="10" fillId="0" borderId="20" xfId="0" quotePrefix="1" applyNumberFormat="1" applyFont="1" applyBorder="1" applyAlignment="1">
      <alignment horizontal="right"/>
    </xf>
    <xf numFmtId="2" fontId="13" fillId="0" borderId="0" xfId="0" applyNumberFormat="1" applyFont="1" applyAlignment="1">
      <alignment vertical="center"/>
    </xf>
    <xf numFmtId="2" fontId="46" fillId="0" borderId="0" xfId="0" applyNumberFormat="1" applyFont="1" applyAlignment="1">
      <alignment horizontal="left" vertical="center"/>
    </xf>
    <xf numFmtId="2" fontId="23" fillId="0" borderId="0" xfId="0" quotePrefix="1" applyNumberFormat="1" applyFont="1" applyAlignment="1">
      <alignment horizontal="left" vertical="center"/>
    </xf>
    <xf numFmtId="2" fontId="23" fillId="0" borderId="0" xfId="862" applyNumberFormat="1" applyFont="1" applyAlignment="1">
      <alignment vertical="center"/>
    </xf>
    <xf numFmtId="2" fontId="46" fillId="0" borderId="0" xfId="0" applyNumberFormat="1" applyFont="1" applyAlignment="1">
      <alignment vertical="center"/>
    </xf>
    <xf numFmtId="2" fontId="47" fillId="0" borderId="0" xfId="0" quotePrefix="1" applyNumberFormat="1" applyFont="1" applyAlignment="1">
      <alignment horizontal="left" vertical="center"/>
    </xf>
    <xf numFmtId="2" fontId="40" fillId="0" borderId="0" xfId="0" applyNumberFormat="1" applyFont="1" applyAlignment="1">
      <alignment horizontal="left" vertical="center"/>
    </xf>
    <xf numFmtId="2" fontId="37" fillId="0" borderId="7" xfId="0" quotePrefix="1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52" fillId="0" borderId="21" xfId="0" applyNumberFormat="1" applyFont="1" applyBorder="1" applyAlignment="1">
      <alignment horizontal="center" vertical="center"/>
    </xf>
    <xf numFmtId="2" fontId="10" fillId="5" borderId="0" xfId="0" applyNumberFormat="1" applyFont="1" applyFill="1" applyAlignment="1">
      <alignment horizontal="center" vertical="center"/>
    </xf>
    <xf numFmtId="185" fontId="47" fillId="5" borderId="0" xfId="866" applyNumberFormat="1" applyFont="1" applyFill="1">
      <alignment vertical="center"/>
    </xf>
    <xf numFmtId="1" fontId="41" fillId="0" borderId="0" xfId="0" applyNumberFormat="1" applyFont="1" applyAlignment="1">
      <alignment vertical="center"/>
    </xf>
    <xf numFmtId="2" fontId="10" fillId="0" borderId="17" xfId="0" applyNumberFormat="1" applyFont="1" applyBorder="1" applyAlignment="1">
      <alignment vertical="center"/>
    </xf>
    <xf numFmtId="2" fontId="47" fillId="0" borderId="16" xfId="0" applyNumberFormat="1" applyFont="1" applyBorder="1" applyAlignment="1">
      <alignment vertical="center"/>
    </xf>
    <xf numFmtId="2" fontId="23" fillId="0" borderId="4" xfId="0" applyNumberFormat="1" applyFont="1" applyBorder="1" applyAlignment="1">
      <alignment vertical="center"/>
    </xf>
    <xf numFmtId="2" fontId="47" fillId="0" borderId="2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2" fontId="23" fillId="0" borderId="2" xfId="0" applyNumberFormat="1" applyFont="1" applyBorder="1" applyAlignment="1">
      <alignment horizontal="right" vertical="center"/>
    </xf>
    <xf numFmtId="2" fontId="10" fillId="0" borderId="4" xfId="0" applyNumberFormat="1" applyFont="1" applyBorder="1" applyAlignment="1">
      <alignment vertical="center"/>
    </xf>
    <xf numFmtId="2" fontId="47" fillId="0" borderId="2" xfId="0" applyNumberFormat="1" applyFont="1" applyBorder="1" applyAlignment="1">
      <alignment horizontal="right" vertical="center"/>
    </xf>
    <xf numFmtId="2" fontId="31" fillId="0" borderId="0" xfId="0" applyNumberFormat="1" applyFont="1" applyAlignment="1">
      <alignment vertical="center"/>
    </xf>
    <xf numFmtId="2" fontId="29" fillId="0" borderId="0" xfId="0" applyNumberFormat="1" applyFont="1" applyAlignment="1">
      <alignment vertical="center"/>
    </xf>
    <xf numFmtId="2" fontId="23" fillId="0" borderId="2" xfId="0" applyNumberFormat="1" applyFont="1" applyBorder="1" applyAlignment="1">
      <alignment horizontal="left" vertical="center"/>
    </xf>
    <xf numFmtId="2" fontId="23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2" fontId="37" fillId="0" borderId="0" xfId="0" quotePrefix="1" applyNumberFormat="1" applyFont="1" applyAlignment="1">
      <alignment vertical="center"/>
    </xf>
    <xf numFmtId="2" fontId="37" fillId="0" borderId="0" xfId="0" quotePrefix="1" applyNumberFormat="1" applyFont="1" applyAlignment="1">
      <alignment horizontal="right" vertical="center"/>
    </xf>
    <xf numFmtId="2" fontId="40" fillId="0" borderId="21" xfId="0" applyNumberFormat="1" applyFont="1" applyBorder="1" applyAlignment="1">
      <alignment horizontal="center" vertical="center"/>
    </xf>
    <xf numFmtId="2" fontId="57" fillId="0" borderId="0" xfId="0" applyNumberFormat="1" applyFont="1" applyAlignment="1">
      <alignment horizontal="left" vertical="center"/>
    </xf>
    <xf numFmtId="2" fontId="57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41" fillId="0" borderId="0" xfId="0" applyFont="1" applyAlignment="1">
      <alignment vertical="center"/>
    </xf>
    <xf numFmtId="177" fontId="41" fillId="0" borderId="0" xfId="0" applyNumberFormat="1" applyFont="1" applyAlignment="1">
      <alignment vertical="center"/>
    </xf>
    <xf numFmtId="176" fontId="53" fillId="0" borderId="0" xfId="0" applyNumberFormat="1" applyFont="1" applyAlignment="1">
      <alignment vertical="center"/>
    </xf>
    <xf numFmtId="0" fontId="10" fillId="0" borderId="0" xfId="0" quotePrefix="1" applyFont="1" applyAlignment="1">
      <alignment horizontal="right" vertical="center"/>
    </xf>
    <xf numFmtId="0" fontId="23" fillId="0" borderId="0" xfId="0" quotePrefix="1" applyFont="1" applyAlignment="1">
      <alignment horizontal="left" vertical="center"/>
    </xf>
    <xf numFmtId="0" fontId="23" fillId="0" borderId="0" xfId="0" applyFont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14" xfId="0" applyNumberFormat="1" applyFont="1" applyBorder="1" applyAlignment="1">
      <alignment vertical="center"/>
    </xf>
    <xf numFmtId="2" fontId="10" fillId="0" borderId="15" xfId="0" applyNumberFormat="1" applyFont="1" applyBorder="1" applyAlignment="1">
      <alignment vertical="center"/>
    </xf>
    <xf numFmtId="2" fontId="10" fillId="0" borderId="20" xfId="0" applyNumberFormat="1" applyFont="1" applyBorder="1" applyAlignment="1">
      <alignment vertical="center"/>
    </xf>
    <xf numFmtId="183" fontId="40" fillId="0" borderId="0" xfId="0" applyNumberFormat="1" applyFont="1" applyAlignment="1">
      <alignment vertical="center"/>
    </xf>
    <xf numFmtId="176" fontId="47" fillId="0" borderId="14" xfId="0" applyNumberFormat="1" applyFont="1" applyBorder="1" applyAlignment="1">
      <alignment vertical="center"/>
    </xf>
    <xf numFmtId="176" fontId="47" fillId="0" borderId="19" xfId="0" applyNumberFormat="1" applyFont="1" applyBorder="1" applyAlignment="1">
      <alignment vertical="center"/>
    </xf>
    <xf numFmtId="2" fontId="10" fillId="0" borderId="19" xfId="0" applyNumberFormat="1" applyFont="1" applyBorder="1" applyAlignment="1">
      <alignment horizontal="left" vertical="center"/>
    </xf>
    <xf numFmtId="2" fontId="10" fillId="0" borderId="14" xfId="0" applyNumberFormat="1" applyFont="1" applyBorder="1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176" fontId="10" fillId="0" borderId="0" xfId="0" quotePrefix="1" applyNumberFormat="1" applyFont="1" applyAlignment="1">
      <alignment horizontal="left" vertical="center"/>
    </xf>
    <xf numFmtId="176" fontId="37" fillId="0" borderId="0" xfId="0" applyNumberFormat="1" applyFont="1" applyAlignment="1">
      <alignment vertical="center"/>
    </xf>
    <xf numFmtId="176" fontId="47" fillId="0" borderId="0" xfId="0" applyNumberFormat="1" applyFont="1" applyAlignment="1">
      <alignment horizontal="right" vertical="center"/>
    </xf>
    <xf numFmtId="183" fontId="41" fillId="0" borderId="0" xfId="0" applyNumberFormat="1" applyFont="1" applyAlignment="1">
      <alignment vertical="center"/>
    </xf>
    <xf numFmtId="2" fontId="10" fillId="0" borderId="27" xfId="0" applyNumberFormat="1" applyFont="1" applyBorder="1" applyAlignment="1">
      <alignment horizontal="right" vertical="center"/>
    </xf>
    <xf numFmtId="176" fontId="47" fillId="0" borderId="27" xfId="0" applyNumberFormat="1" applyFont="1" applyBorder="1" applyAlignment="1">
      <alignment horizontal="right" vertical="center"/>
    </xf>
    <xf numFmtId="2" fontId="23" fillId="0" borderId="0" xfId="0" applyNumberFormat="1" applyFont="1" applyAlignment="1">
      <alignment horizontal="right" vertical="center" wrapText="1"/>
    </xf>
    <xf numFmtId="2" fontId="30" fillId="0" borderId="19" xfId="0" applyNumberFormat="1" applyFont="1" applyBorder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2" fontId="10" fillId="0" borderId="28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47" fillId="0" borderId="27" xfId="0" applyNumberFormat="1" applyFont="1" applyBorder="1" applyAlignment="1">
      <alignment vertical="center"/>
    </xf>
    <xf numFmtId="3" fontId="47" fillId="0" borderId="26" xfId="0" applyNumberFormat="1" applyFont="1" applyBorder="1" applyAlignment="1">
      <alignment vertical="center"/>
    </xf>
    <xf numFmtId="189" fontId="10" fillId="0" borderId="0" xfId="0" applyNumberFormat="1" applyFont="1" applyAlignment="1">
      <alignment horizontal="right" vertical="center"/>
    </xf>
    <xf numFmtId="3" fontId="41" fillId="0" borderId="0" xfId="0" applyNumberFormat="1" applyFont="1" applyAlignment="1">
      <alignment vertical="center"/>
    </xf>
    <xf numFmtId="189" fontId="10" fillId="0" borderId="0" xfId="0" applyNumberFormat="1" applyFont="1" applyAlignment="1">
      <alignment vertical="center"/>
    </xf>
    <xf numFmtId="189" fontId="41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176" fontId="47" fillId="0" borderId="27" xfId="0" applyNumberFormat="1" applyFont="1" applyBorder="1" applyAlignment="1">
      <alignment vertical="center"/>
    </xf>
    <xf numFmtId="189" fontId="47" fillId="0" borderId="27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89" fontId="47" fillId="0" borderId="0" xfId="0" applyNumberFormat="1" applyFont="1" applyAlignment="1">
      <alignment vertical="center"/>
    </xf>
    <xf numFmtId="4" fontId="47" fillId="0" borderId="0" xfId="0" applyNumberFormat="1" applyFont="1" applyAlignment="1">
      <alignment vertical="center"/>
    </xf>
    <xf numFmtId="3" fontId="47" fillId="0" borderId="19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47" fillId="0" borderId="1" xfId="0" applyFont="1" applyBorder="1" applyAlignment="1">
      <alignment horizontal="right" vertical="center"/>
    </xf>
    <xf numFmtId="1" fontId="10" fillId="0" borderId="1" xfId="0" applyNumberFormat="1" applyFont="1" applyBorder="1" applyAlignment="1">
      <alignment horizontal="center" vertical="center"/>
    </xf>
    <xf numFmtId="186" fontId="10" fillId="0" borderId="1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2" fontId="47" fillId="0" borderId="1" xfId="0" applyNumberFormat="1" applyFont="1" applyBorder="1" applyAlignment="1">
      <alignment horizontal="center" vertical="center"/>
    </xf>
    <xf numFmtId="2" fontId="76" fillId="0" borderId="0" xfId="0" applyNumberFormat="1" applyFont="1" applyAlignment="1">
      <alignment vertical="center"/>
    </xf>
    <xf numFmtId="176" fontId="76" fillId="0" borderId="0" xfId="0" applyNumberFormat="1" applyFont="1" applyAlignment="1">
      <alignment horizontal="left" vertical="center"/>
    </xf>
    <xf numFmtId="2" fontId="76" fillId="0" borderId="0" xfId="0" applyNumberFormat="1" applyFont="1" applyAlignment="1">
      <alignment horizontal="center" vertical="center"/>
    </xf>
    <xf numFmtId="2" fontId="76" fillId="0" borderId="1" xfId="0" applyNumberFormat="1" applyFont="1" applyBorder="1" applyAlignment="1">
      <alignment horizontal="center" vertical="center"/>
    </xf>
    <xf numFmtId="1" fontId="76" fillId="0" borderId="1" xfId="0" applyNumberFormat="1" applyFont="1" applyBorder="1" applyAlignment="1">
      <alignment horizontal="center" vertical="center"/>
    </xf>
    <xf numFmtId="176" fontId="82" fillId="0" borderId="0" xfId="0" applyNumberFormat="1" applyFont="1" applyAlignment="1">
      <alignment horizontal="left" vertical="center"/>
    </xf>
    <xf numFmtId="176" fontId="76" fillId="0" borderId="0" xfId="0" applyNumberFormat="1" applyFont="1" applyAlignment="1">
      <alignment horizontal="center" vertical="center"/>
    </xf>
    <xf numFmtId="176" fontId="83" fillId="0" borderId="0" xfId="0" applyNumberFormat="1" applyFont="1" applyAlignment="1">
      <alignment horizontal="left" vertical="center"/>
    </xf>
    <xf numFmtId="1" fontId="76" fillId="0" borderId="0" xfId="0" applyNumberFormat="1" applyFont="1" applyAlignment="1">
      <alignment horizontal="right" vertical="center"/>
    </xf>
    <xf numFmtId="187" fontId="76" fillId="0" borderId="0" xfId="0" applyNumberFormat="1" applyFont="1" applyAlignment="1">
      <alignment horizontal="left" vertical="center"/>
    </xf>
    <xf numFmtId="176" fontId="76" fillId="0" borderId="0" xfId="0" applyNumberFormat="1" applyFont="1" applyAlignment="1">
      <alignment horizontal="right" vertical="center"/>
    </xf>
    <xf numFmtId="0" fontId="76" fillId="0" borderId="0" xfId="0" applyFont="1" applyAlignment="1">
      <alignment vertical="center"/>
    </xf>
    <xf numFmtId="176" fontId="83" fillId="0" borderId="0" xfId="0" applyNumberFormat="1" applyFont="1" applyAlignment="1">
      <alignment vertical="center"/>
    </xf>
    <xf numFmtId="0" fontId="76" fillId="0" borderId="2" xfId="0" applyFont="1" applyBorder="1" applyAlignment="1">
      <alignment horizontal="left" vertical="center"/>
    </xf>
    <xf numFmtId="0" fontId="76" fillId="0" borderId="8" xfId="0" applyFont="1" applyBorder="1" applyAlignment="1">
      <alignment horizontal="left" vertical="center"/>
    </xf>
    <xf numFmtId="2" fontId="76" fillId="0" borderId="2" xfId="0" applyNumberFormat="1" applyFont="1" applyBorder="1" applyAlignment="1">
      <alignment horizontal="left" vertical="center"/>
    </xf>
    <xf numFmtId="185" fontId="76" fillId="0" borderId="2" xfId="0" applyNumberFormat="1" applyFont="1" applyBorder="1" applyAlignment="1">
      <alignment horizontal="right" vertical="center"/>
    </xf>
    <xf numFmtId="0" fontId="76" fillId="0" borderId="2" xfId="0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/>
    </xf>
    <xf numFmtId="0" fontId="76" fillId="0" borderId="25" xfId="0" applyFont="1" applyBorder="1" applyAlignment="1">
      <alignment horizontal="left" vertical="center"/>
    </xf>
    <xf numFmtId="0" fontId="76" fillId="0" borderId="10" xfId="0" applyFont="1" applyBorder="1" applyAlignment="1">
      <alignment horizontal="left" vertical="center"/>
    </xf>
    <xf numFmtId="2" fontId="76" fillId="0" borderId="25" xfId="0" applyNumberFormat="1" applyFont="1" applyBorder="1" applyAlignment="1">
      <alignment horizontal="left" vertical="center"/>
    </xf>
    <xf numFmtId="2" fontId="76" fillId="0" borderId="10" xfId="0" applyNumberFormat="1" applyFont="1" applyBorder="1" applyAlignment="1">
      <alignment horizontal="left" vertical="center"/>
    </xf>
    <xf numFmtId="185" fontId="76" fillId="0" borderId="25" xfId="0" applyNumberFormat="1" applyFont="1" applyBorder="1" applyAlignment="1">
      <alignment horizontal="right" vertical="center"/>
    </xf>
    <xf numFmtId="0" fontId="76" fillId="0" borderId="25" xfId="0" applyFont="1" applyBorder="1" applyAlignment="1">
      <alignment horizontal="center" vertical="center"/>
    </xf>
    <xf numFmtId="177" fontId="81" fillId="0" borderId="0" xfId="0" applyNumberFormat="1" applyFont="1" applyAlignment="1">
      <alignment vertical="center"/>
    </xf>
    <xf numFmtId="0" fontId="85" fillId="0" borderId="0" xfId="0" applyFont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81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0" fontId="76" fillId="0" borderId="0" xfId="0" quotePrefix="1" applyFont="1" applyAlignment="1">
      <alignment vertical="center"/>
    </xf>
    <xf numFmtId="2" fontId="76" fillId="0" borderId="0" xfId="0" applyNumberFormat="1" applyFont="1" applyAlignment="1">
      <alignment horizontal="left" vertical="center"/>
    </xf>
    <xf numFmtId="176" fontId="61" fillId="0" borderId="0" xfId="0" applyNumberFormat="1" applyFont="1" applyAlignment="1">
      <alignment vertical="center"/>
    </xf>
    <xf numFmtId="176" fontId="81" fillId="0" borderId="0" xfId="0" applyNumberFormat="1" applyFont="1" applyAlignment="1">
      <alignment vertical="center"/>
    </xf>
    <xf numFmtId="191" fontId="76" fillId="0" borderId="0" xfId="900" applyNumberFormat="1" applyFont="1" applyAlignment="1">
      <alignment vertical="center"/>
    </xf>
    <xf numFmtId="0" fontId="76" fillId="0" borderId="0" xfId="0" quotePrefix="1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2" fontId="76" fillId="0" borderId="0" xfId="0" quotePrefix="1" applyNumberFormat="1" applyFont="1" applyAlignment="1">
      <alignment vertical="center"/>
    </xf>
    <xf numFmtId="2" fontId="76" fillId="0" borderId="0" xfId="0" applyNumberFormat="1" applyFont="1" applyAlignment="1">
      <alignment horizontal="right" vertical="center"/>
    </xf>
    <xf numFmtId="2" fontId="76" fillId="0" borderId="0" xfId="0" quotePrefix="1" applyNumberFormat="1" applyFont="1" applyAlignment="1">
      <alignment horizontal="center" vertical="center"/>
    </xf>
    <xf numFmtId="180" fontId="76" fillId="0" borderId="0" xfId="0" applyNumberFormat="1" applyFont="1" applyAlignment="1">
      <alignment horizontal="left" vertical="center"/>
    </xf>
    <xf numFmtId="176" fontId="76" fillId="2" borderId="0" xfId="0" applyNumberFormat="1" applyFont="1" applyFill="1" applyAlignment="1">
      <alignment horizontal="center" vertical="center"/>
    </xf>
    <xf numFmtId="0" fontId="76" fillId="0" borderId="1" xfId="0" applyFont="1" applyBorder="1" applyAlignment="1">
      <alignment vertical="center"/>
    </xf>
    <xf numFmtId="176" fontId="83" fillId="0" borderId="0" xfId="0" quotePrefix="1" applyNumberFormat="1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76" fillId="7" borderId="0" xfId="0" applyFont="1" applyFill="1" applyAlignment="1">
      <alignment horizontal="center" vertical="center"/>
    </xf>
    <xf numFmtId="2" fontId="76" fillId="7" borderId="0" xfId="0" applyNumberFormat="1" applyFont="1" applyFill="1" applyAlignment="1">
      <alignment horizontal="center" vertical="center"/>
    </xf>
    <xf numFmtId="176" fontId="76" fillId="0" borderId="1" xfId="0" applyNumberFormat="1" applyFont="1" applyBorder="1" applyAlignment="1">
      <alignment horizontal="left" vertical="center"/>
    </xf>
    <xf numFmtId="0" fontId="86" fillId="0" borderId="1" xfId="0" applyFont="1" applyBorder="1" applyAlignment="1">
      <alignment vertical="center"/>
    </xf>
    <xf numFmtId="178" fontId="76" fillId="0" borderId="0" xfId="0" applyNumberFormat="1" applyFont="1" applyAlignment="1">
      <alignment vertical="center"/>
    </xf>
    <xf numFmtId="176" fontId="76" fillId="0" borderId="0" xfId="0" applyNumberFormat="1" applyFont="1" applyAlignment="1">
      <alignment vertical="center"/>
    </xf>
    <xf numFmtId="191" fontId="76" fillId="0" borderId="0" xfId="0" applyNumberFormat="1" applyFont="1" applyAlignment="1">
      <alignment vertical="center"/>
    </xf>
    <xf numFmtId="186" fontId="76" fillId="0" borderId="0" xfId="0" applyNumberFormat="1" applyFont="1" applyAlignment="1">
      <alignment horizontal="center" vertical="center"/>
    </xf>
    <xf numFmtId="2" fontId="76" fillId="0" borderId="21" xfId="0" applyNumberFormat="1" applyFont="1" applyBorder="1" applyAlignment="1">
      <alignment horizontal="center" vertical="center"/>
    </xf>
    <xf numFmtId="1" fontId="76" fillId="0" borderId="40" xfId="0" applyNumberFormat="1" applyFont="1" applyBorder="1" applyAlignment="1">
      <alignment horizontal="center" vertical="center"/>
    </xf>
    <xf numFmtId="1" fontId="61" fillId="0" borderId="1" xfId="0" applyNumberFormat="1" applyFont="1" applyBorder="1" applyAlignment="1">
      <alignment horizontal="center" vertical="center"/>
    </xf>
    <xf numFmtId="1" fontId="76" fillId="0" borderId="0" xfId="0" applyNumberFormat="1" applyFont="1" applyAlignment="1">
      <alignment horizontal="center" vertical="center"/>
    </xf>
    <xf numFmtId="1" fontId="76" fillId="0" borderId="4" xfId="0" applyNumberFormat="1" applyFont="1" applyBorder="1" applyAlignment="1">
      <alignment horizontal="left" vertical="center"/>
    </xf>
    <xf numFmtId="1" fontId="76" fillId="0" borderId="8" xfId="0" applyNumberFormat="1" applyFont="1" applyBorder="1" applyAlignment="1">
      <alignment horizontal="center" vertical="center"/>
    </xf>
    <xf numFmtId="1" fontId="76" fillId="0" borderId="4" xfId="0" applyNumberFormat="1" applyFont="1" applyBorder="1" applyAlignment="1">
      <alignment horizontal="center" vertical="center"/>
    </xf>
    <xf numFmtId="1" fontId="76" fillId="0" borderId="2" xfId="0" applyNumberFormat="1" applyFont="1" applyBorder="1" applyAlignment="1">
      <alignment horizontal="center" vertical="center"/>
    </xf>
    <xf numFmtId="191" fontId="94" fillId="0" borderId="0" xfId="0" applyNumberFormat="1" applyFont="1" applyAlignment="1">
      <alignment horizontal="left" vertical="center"/>
    </xf>
    <xf numFmtId="191" fontId="76" fillId="0" borderId="0" xfId="0" quotePrefix="1" applyNumberFormat="1" applyFont="1" applyAlignment="1">
      <alignment vertical="center"/>
    </xf>
    <xf numFmtId="191" fontId="76" fillId="0" borderId="25" xfId="900" applyNumberFormat="1" applyFont="1" applyBorder="1" applyAlignment="1">
      <alignment horizontal="center" vertical="center"/>
    </xf>
    <xf numFmtId="0" fontId="83" fillId="0" borderId="0" xfId="0" applyFont="1" applyAlignment="1">
      <alignment vertical="center"/>
    </xf>
    <xf numFmtId="191" fontId="76" fillId="0" borderId="2" xfId="900" applyNumberFormat="1" applyFont="1" applyBorder="1" applyAlignment="1">
      <alignment horizontal="left" vertical="center"/>
    </xf>
    <xf numFmtId="191" fontId="94" fillId="0" borderId="0" xfId="900" quotePrefix="1" applyNumberFormat="1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191" fontId="76" fillId="0" borderId="0" xfId="900" applyNumberFormat="1" applyFont="1" applyAlignment="1">
      <alignment horizontal="right" vertical="center"/>
    </xf>
    <xf numFmtId="176" fontId="76" fillId="3" borderId="2" xfId="0" applyNumberFormat="1" applyFont="1" applyFill="1" applyBorder="1" applyAlignment="1">
      <alignment vertical="center"/>
    </xf>
    <xf numFmtId="191" fontId="76" fillId="0" borderId="0" xfId="900" applyNumberFormat="1" applyFont="1" applyAlignment="1">
      <alignment horizontal="center" vertical="center"/>
    </xf>
    <xf numFmtId="191" fontId="76" fillId="0" borderId="2" xfId="900" applyNumberFormat="1" applyFont="1" applyBorder="1" applyAlignment="1">
      <alignment vertical="center"/>
    </xf>
    <xf numFmtId="191" fontId="76" fillId="0" borderId="0" xfId="900" quotePrefix="1" applyNumberFormat="1" applyFont="1" applyAlignment="1">
      <alignment vertical="center"/>
    </xf>
    <xf numFmtId="194" fontId="76" fillId="0" borderId="0" xfId="900" applyNumberFormat="1" applyFont="1" applyAlignment="1">
      <alignment horizontal="center" vertical="center"/>
    </xf>
    <xf numFmtId="191" fontId="76" fillId="0" borderId="0" xfId="900" applyNumberFormat="1" applyFont="1" applyAlignment="1">
      <alignment horizontal="left" vertical="center"/>
    </xf>
    <xf numFmtId="191" fontId="76" fillId="0" borderId="0" xfId="900" quotePrefix="1" applyNumberFormat="1" applyFont="1" applyAlignment="1">
      <alignment horizontal="right" vertical="center"/>
    </xf>
    <xf numFmtId="191" fontId="76" fillId="0" borderId="6" xfId="900" applyNumberFormat="1" applyFont="1" applyBorder="1" applyAlignment="1">
      <alignment vertical="center"/>
    </xf>
    <xf numFmtId="191" fontId="76" fillId="0" borderId="25" xfId="900" applyNumberFormat="1" applyFont="1" applyBorder="1" applyAlignment="1">
      <alignment vertical="center"/>
    </xf>
    <xf numFmtId="191" fontId="76" fillId="0" borderId="8" xfId="900" applyNumberFormat="1" applyFont="1" applyBorder="1" applyAlignment="1">
      <alignment vertical="center"/>
    </xf>
    <xf numFmtId="191" fontId="76" fillId="8" borderId="4" xfId="900" applyNumberFormat="1" applyFont="1" applyFill="1" applyBorder="1" applyAlignment="1">
      <alignment horizontal="left" vertical="center"/>
    </xf>
    <xf numFmtId="191" fontId="76" fillId="0" borderId="4" xfId="900" quotePrefix="1" applyNumberFormat="1" applyFont="1" applyBorder="1" applyAlignment="1">
      <alignment horizontal="left" vertical="center"/>
    </xf>
    <xf numFmtId="191" fontId="76" fillId="0" borderId="0" xfId="900" quotePrefix="1" applyNumberFormat="1" applyFont="1" applyAlignment="1">
      <alignment horizontal="left" vertical="center"/>
    </xf>
    <xf numFmtId="191" fontId="76" fillId="0" borderId="4" xfId="900" applyNumberFormat="1" applyFont="1" applyBorder="1" applyAlignment="1">
      <alignment vertical="center"/>
    </xf>
    <xf numFmtId="191" fontId="76" fillId="0" borderId="2" xfId="900" applyNumberFormat="1" applyFont="1" applyBorder="1" applyAlignment="1">
      <alignment horizontal="center" vertical="center"/>
    </xf>
    <xf numFmtId="191" fontId="94" fillId="0" borderId="0" xfId="900" applyNumberFormat="1" applyFont="1" applyAlignment="1">
      <alignment horizontal="left" vertical="center"/>
    </xf>
    <xf numFmtId="0" fontId="91" fillId="0" borderId="0" xfId="0" applyFont="1" applyAlignment="1">
      <alignment vertical="center"/>
    </xf>
    <xf numFmtId="191" fontId="76" fillId="0" borderId="42" xfId="900" applyNumberFormat="1" applyFont="1" applyBorder="1" applyAlignment="1">
      <alignment vertical="center"/>
    </xf>
    <xf numFmtId="1" fontId="76" fillId="0" borderId="2" xfId="0" applyNumberFormat="1" applyFont="1" applyBorder="1" applyAlignment="1">
      <alignment horizontal="left" vertical="center"/>
    </xf>
    <xf numFmtId="191" fontId="91" fillId="0" borderId="0" xfId="0" applyNumberFormat="1" applyFont="1" applyAlignment="1">
      <alignment vertical="center"/>
    </xf>
    <xf numFmtId="191" fontId="76" fillId="0" borderId="11" xfId="900" applyNumberFormat="1" applyFont="1" applyBorder="1" applyAlignment="1">
      <alignment vertical="center"/>
    </xf>
    <xf numFmtId="2" fontId="76" fillId="0" borderId="23" xfId="900" applyNumberFormat="1" applyFont="1" applyBorder="1" applyAlignment="1">
      <alignment horizontal="right" vertical="center"/>
    </xf>
    <xf numFmtId="191" fontId="76" fillId="0" borderId="24" xfId="900" applyNumberFormat="1" applyFont="1" applyBorder="1" applyAlignment="1">
      <alignment vertical="center"/>
    </xf>
    <xf numFmtId="191" fontId="76" fillId="0" borderId="23" xfId="900" applyNumberFormat="1" applyFont="1" applyBorder="1" applyAlignment="1">
      <alignment vertical="center"/>
    </xf>
    <xf numFmtId="191" fontId="76" fillId="0" borderId="24" xfId="900" applyNumberFormat="1" applyFont="1" applyBorder="1" applyAlignment="1">
      <alignment horizontal="left" vertical="center"/>
    </xf>
    <xf numFmtId="191" fontId="76" fillId="0" borderId="0" xfId="0" quotePrefix="1" applyNumberFormat="1" applyFont="1" applyAlignment="1">
      <alignment horizontal="left" vertical="center"/>
    </xf>
    <xf numFmtId="191" fontId="94" fillId="0" borderId="8" xfId="900" applyNumberFormat="1" applyFont="1" applyBorder="1" applyAlignment="1">
      <alignment vertical="center"/>
    </xf>
    <xf numFmtId="191" fontId="76" fillId="0" borderId="0" xfId="0" applyNumberFormat="1" applyFont="1" applyAlignment="1">
      <alignment horizontal="center" vertical="center"/>
    </xf>
    <xf numFmtId="195" fontId="76" fillId="0" borderId="0" xfId="0" applyNumberFormat="1" applyFont="1" applyAlignment="1">
      <alignment vertical="center"/>
    </xf>
    <xf numFmtId="196" fontId="76" fillId="0" borderId="0" xfId="0" applyNumberFormat="1" applyFont="1" applyAlignment="1">
      <alignment vertical="center"/>
    </xf>
    <xf numFmtId="2" fontId="61" fillId="0" borderId="0" xfId="0" applyNumberFormat="1" applyFont="1" applyAlignment="1">
      <alignment vertical="center"/>
    </xf>
    <xf numFmtId="191" fontId="76" fillId="0" borderId="0" xfId="0" applyNumberFormat="1" applyFont="1" applyAlignment="1">
      <alignment horizontal="left" vertical="center"/>
    </xf>
    <xf numFmtId="1" fontId="76" fillId="0" borderId="0" xfId="0" applyNumberFormat="1" applyFont="1" applyAlignment="1">
      <alignment vertical="center"/>
    </xf>
    <xf numFmtId="1" fontId="76" fillId="0" borderId="0" xfId="0" applyNumberFormat="1" applyFont="1" applyAlignment="1">
      <alignment horizontal="left" vertical="center"/>
    </xf>
    <xf numFmtId="176" fontId="76" fillId="0" borderId="0" xfId="0" applyNumberFormat="1" applyFont="1" applyAlignment="1">
      <alignment horizontal="right" vertical="center" wrapText="1"/>
    </xf>
    <xf numFmtId="2" fontId="76" fillId="0" borderId="0" xfId="0" applyNumberFormat="1" applyFont="1" applyAlignment="1">
      <alignment horizontal="right" vertical="center" wrapText="1"/>
    </xf>
    <xf numFmtId="186" fontId="76" fillId="0" borderId="0" xfId="0" applyNumberFormat="1" applyFont="1" applyAlignment="1">
      <alignment horizontal="right" vertical="center"/>
    </xf>
    <xf numFmtId="176" fontId="76" fillId="0" borderId="0" xfId="0" applyNumberFormat="1" applyFont="1" applyAlignment="1">
      <alignment horizontal="left" vertical="center" wrapText="1"/>
    </xf>
    <xf numFmtId="176" fontId="100" fillId="0" borderId="0" xfId="0" applyNumberFormat="1" applyFont="1" applyAlignment="1">
      <alignment horizontal="left" vertical="center"/>
    </xf>
    <xf numFmtId="176" fontId="76" fillId="6" borderId="2" xfId="0" applyNumberFormat="1" applyFont="1" applyFill="1" applyBorder="1" applyAlignment="1">
      <alignment horizontal="center" vertical="center"/>
    </xf>
    <xf numFmtId="176" fontId="76" fillId="6" borderId="4" xfId="0" applyNumberFormat="1" applyFont="1" applyFill="1" applyBorder="1" applyAlignment="1">
      <alignment horizontal="center" vertical="center"/>
    </xf>
    <xf numFmtId="176" fontId="83" fillId="0" borderId="2" xfId="0" applyNumberFormat="1" applyFont="1" applyBorder="1" applyAlignment="1">
      <alignment horizontal="left" vertical="center"/>
    </xf>
    <xf numFmtId="176" fontId="76" fillId="0" borderId="8" xfId="0" applyNumberFormat="1" applyFont="1" applyBorder="1" applyAlignment="1">
      <alignment horizontal="left" vertical="center"/>
    </xf>
    <xf numFmtId="176" fontId="76" fillId="0" borderId="2" xfId="0" applyNumberFormat="1" applyFont="1" applyBorder="1" applyAlignment="1">
      <alignment horizontal="left" vertical="center"/>
    </xf>
    <xf numFmtId="2" fontId="54" fillId="0" borderId="0" xfId="0" applyNumberFormat="1" applyFont="1" applyAlignment="1">
      <alignment horizontal="center" vertical="center"/>
    </xf>
    <xf numFmtId="1" fontId="76" fillId="0" borderId="4" xfId="0" applyNumberFormat="1" applyFont="1" applyBorder="1" applyAlignment="1">
      <alignment horizontal="right" vertical="center"/>
    </xf>
    <xf numFmtId="176" fontId="76" fillId="0" borderId="0" xfId="0" quotePrefix="1" applyNumberFormat="1" applyFont="1" applyAlignment="1">
      <alignment horizontal="left" vertical="center"/>
    </xf>
    <xf numFmtId="2" fontId="86" fillId="0" borderId="0" xfId="0" applyNumberFormat="1" applyFont="1" applyAlignment="1">
      <alignment horizontal="right" vertical="center"/>
    </xf>
    <xf numFmtId="176" fontId="76" fillId="6" borderId="50" xfId="0" applyNumberFormat="1" applyFont="1" applyFill="1" applyBorder="1" applyAlignment="1">
      <alignment horizontal="center" vertical="center"/>
    </xf>
    <xf numFmtId="176" fontId="76" fillId="6" borderId="1" xfId="0" applyNumberFormat="1" applyFont="1" applyFill="1" applyBorder="1" applyAlignment="1">
      <alignment horizontal="center" vertical="center"/>
    </xf>
    <xf numFmtId="176" fontId="76" fillId="0" borderId="4" xfId="0" applyNumberFormat="1" applyFont="1" applyBorder="1" applyAlignment="1">
      <alignment horizontal="right" vertical="center" indent="1"/>
    </xf>
    <xf numFmtId="176" fontId="76" fillId="0" borderId="50" xfId="0" applyNumberFormat="1" applyFont="1" applyBorder="1" applyAlignment="1">
      <alignment horizontal="right" vertical="center" indent="1"/>
    </xf>
    <xf numFmtId="185" fontId="76" fillId="0" borderId="50" xfId="0" applyNumberFormat="1" applyFont="1" applyBorder="1" applyAlignment="1">
      <alignment horizontal="right" vertical="center" indent="1"/>
    </xf>
    <xf numFmtId="176" fontId="61" fillId="0" borderId="2" xfId="0" applyNumberFormat="1" applyFont="1" applyBorder="1" applyAlignment="1">
      <alignment horizontal="center" vertical="center"/>
    </xf>
    <xf numFmtId="176" fontId="76" fillId="6" borderId="5" xfId="0" applyNumberFormat="1" applyFont="1" applyFill="1" applyBorder="1"/>
    <xf numFmtId="2" fontId="76" fillId="0" borderId="4" xfId="0" applyNumberFormat="1" applyFont="1" applyBorder="1" applyAlignment="1">
      <alignment horizontal="right" vertical="center" indent="1"/>
    </xf>
    <xf numFmtId="2" fontId="76" fillId="0" borderId="8" xfId="0" applyNumberFormat="1" applyFont="1" applyBorder="1" applyAlignment="1">
      <alignment horizontal="center" vertical="center"/>
    </xf>
    <xf numFmtId="176" fontId="76" fillId="6" borderId="25" xfId="0" applyNumberFormat="1" applyFont="1" applyFill="1" applyBorder="1" applyAlignment="1">
      <alignment horizontal="left" vertical="center"/>
    </xf>
    <xf numFmtId="2" fontId="76" fillId="0" borderId="50" xfId="0" applyNumberFormat="1" applyFont="1" applyBorder="1" applyAlignment="1">
      <alignment horizontal="right" vertical="center" indent="1"/>
    </xf>
    <xf numFmtId="186" fontId="76" fillId="0" borderId="0" xfId="0" applyNumberFormat="1" applyFont="1" applyAlignment="1">
      <alignment horizontal="left" vertical="center"/>
    </xf>
    <xf numFmtId="198" fontId="76" fillId="0" borderId="0" xfId="0" applyNumberFormat="1" applyFont="1" applyAlignment="1">
      <alignment vertical="center"/>
    </xf>
    <xf numFmtId="3" fontId="76" fillId="0" borderId="0" xfId="0" applyNumberFormat="1" applyFont="1" applyAlignment="1">
      <alignment horizontal="right" vertical="center"/>
    </xf>
    <xf numFmtId="3" fontId="76" fillId="0" borderId="0" xfId="0" applyNumberFormat="1" applyFont="1" applyAlignment="1">
      <alignment vertical="center"/>
    </xf>
    <xf numFmtId="186" fontId="76" fillId="0" borderId="0" xfId="0" applyNumberFormat="1" applyFont="1" applyAlignment="1">
      <alignment vertical="center"/>
    </xf>
    <xf numFmtId="193" fontId="81" fillId="0" borderId="0" xfId="0" applyNumberFormat="1" applyFont="1" applyAlignment="1">
      <alignment horizontal="center" vertical="center"/>
    </xf>
    <xf numFmtId="0" fontId="76" fillId="0" borderId="0" xfId="0" quotePrefix="1" applyFont="1" applyAlignment="1">
      <alignment horizontal="right" vertical="center"/>
    </xf>
    <xf numFmtId="176" fontId="76" fillId="9" borderId="0" xfId="0" applyNumberFormat="1" applyFont="1" applyFill="1" applyAlignment="1">
      <alignment vertical="center"/>
    </xf>
    <xf numFmtId="11" fontId="76" fillId="0" borderId="0" xfId="0" applyNumberFormat="1" applyFont="1" applyAlignment="1">
      <alignment vertical="center"/>
    </xf>
    <xf numFmtId="2" fontId="76" fillId="9" borderId="0" xfId="0" applyNumberFormat="1" applyFont="1" applyFill="1" applyAlignment="1">
      <alignment horizontal="right" vertical="center"/>
    </xf>
    <xf numFmtId="0" fontId="76" fillId="0" borderId="4" xfId="0" applyFont="1" applyBorder="1" applyAlignment="1">
      <alignment horizontal="right" vertical="center"/>
    </xf>
    <xf numFmtId="2" fontId="61" fillId="0" borderId="8" xfId="0" applyNumberFormat="1" applyFont="1" applyBorder="1" applyAlignment="1">
      <alignment horizontal="center" vertical="center"/>
    </xf>
    <xf numFmtId="0" fontId="76" fillId="0" borderId="9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190" fontId="76" fillId="0" borderId="0" xfId="0" applyNumberFormat="1" applyFont="1" applyAlignment="1">
      <alignment horizontal="right" vertical="center"/>
    </xf>
    <xf numFmtId="2" fontId="101" fillId="0" borderId="1" xfId="0" applyNumberFormat="1" applyFont="1" applyBorder="1" applyAlignment="1">
      <alignment horizontal="left" vertical="center"/>
    </xf>
    <xf numFmtId="178" fontId="76" fillId="0" borderId="1" xfId="0" applyNumberFormat="1" applyFont="1" applyBorder="1" applyAlignment="1">
      <alignment horizontal="center" vertical="center"/>
    </xf>
    <xf numFmtId="176" fontId="101" fillId="0" borderId="41" xfId="0" applyNumberFormat="1" applyFont="1" applyBorder="1" applyAlignment="1">
      <alignment horizontal="left" vertical="center"/>
    </xf>
    <xf numFmtId="178" fontId="101" fillId="0" borderId="0" xfId="0" applyNumberFormat="1" applyFont="1" applyAlignment="1">
      <alignment horizontal="center" vertical="center"/>
    </xf>
    <xf numFmtId="0" fontId="101" fillId="0" borderId="0" xfId="0" applyFont="1" applyAlignment="1">
      <alignment vertical="center"/>
    </xf>
    <xf numFmtId="178" fontId="101" fillId="0" borderId="0" xfId="0" applyNumberFormat="1" applyFont="1" applyAlignment="1">
      <alignment vertical="center"/>
    </xf>
    <xf numFmtId="0" fontId="101" fillId="0" borderId="0" xfId="0" applyFont="1" applyAlignment="1">
      <alignment horizontal="center" vertical="center"/>
    </xf>
    <xf numFmtId="179" fontId="76" fillId="0" borderId="1" xfId="0" applyNumberFormat="1" applyFont="1" applyBorder="1" applyAlignment="1">
      <alignment horizontal="center" vertical="center"/>
    </xf>
    <xf numFmtId="0" fontId="76" fillId="0" borderId="0" xfId="0" quotePrefix="1" applyFont="1" applyAlignment="1">
      <alignment horizontal="center" vertical="center"/>
    </xf>
    <xf numFmtId="179" fontId="76" fillId="0" borderId="1" xfId="0" applyNumberFormat="1" applyFont="1" applyBorder="1" applyAlignment="1">
      <alignment horizontal="right" vertical="center"/>
    </xf>
    <xf numFmtId="176" fontId="101" fillId="0" borderId="0" xfId="0" applyNumberFormat="1" applyFont="1" applyAlignment="1">
      <alignment horizontal="left" vertical="center"/>
    </xf>
    <xf numFmtId="177" fontId="76" fillId="0" borderId="1" xfId="0" applyNumberFormat="1" applyFont="1" applyBorder="1" applyAlignment="1">
      <alignment horizontal="right" vertical="center"/>
    </xf>
    <xf numFmtId="177" fontId="101" fillId="0" borderId="0" xfId="0" applyNumberFormat="1" applyFont="1" applyAlignment="1">
      <alignment horizontal="center" vertical="center"/>
    </xf>
    <xf numFmtId="2" fontId="76" fillId="9" borderId="0" xfId="0" applyNumberFormat="1" applyFont="1" applyFill="1" applyAlignment="1">
      <alignment vertical="center"/>
    </xf>
    <xf numFmtId="199" fontId="76" fillId="0" borderId="0" xfId="0" applyNumberFormat="1" applyFont="1" applyAlignment="1">
      <alignment horizontal="right" vertical="center"/>
    </xf>
    <xf numFmtId="2" fontId="86" fillId="0" borderId="0" xfId="0" applyNumberFormat="1" applyFont="1" applyAlignment="1">
      <alignment horizontal="center" vertical="center"/>
    </xf>
    <xf numFmtId="2" fontId="86" fillId="0" borderId="0" xfId="0" applyNumberFormat="1" applyFont="1" applyAlignment="1">
      <alignment horizontal="left" vertical="center"/>
    </xf>
    <xf numFmtId="2" fontId="76" fillId="0" borderId="0" xfId="0" quotePrefix="1" applyNumberFormat="1" applyFont="1" applyAlignment="1">
      <alignment horizontal="right" vertical="center"/>
    </xf>
    <xf numFmtId="1" fontId="76" fillId="0" borderId="4" xfId="0" applyNumberFormat="1" applyFont="1" applyBorder="1" applyAlignment="1">
      <alignment vertical="center"/>
    </xf>
    <xf numFmtId="2" fontId="76" fillId="0" borderId="5" xfId="0" applyNumberFormat="1" applyFont="1" applyBorder="1" applyAlignment="1">
      <alignment horizontal="left" vertical="center"/>
    </xf>
    <xf numFmtId="2" fontId="83" fillId="6" borderId="51" xfId="0" applyNumberFormat="1" applyFont="1" applyFill="1" applyBorder="1" applyAlignment="1">
      <alignment horizontal="center" vertical="center"/>
    </xf>
    <xf numFmtId="2" fontId="83" fillId="6" borderId="4" xfId="0" applyNumberFormat="1" applyFont="1" applyFill="1" applyBorder="1" applyAlignment="1">
      <alignment horizontal="center" vertical="center"/>
    </xf>
    <xf numFmtId="176" fontId="83" fillId="6" borderId="51" xfId="0" applyNumberFormat="1" applyFont="1" applyFill="1" applyBorder="1" applyAlignment="1">
      <alignment horizontal="center" vertical="center"/>
    </xf>
    <xf numFmtId="176" fontId="83" fillId="6" borderId="2" xfId="0" applyNumberFormat="1" applyFont="1" applyFill="1" applyBorder="1" applyAlignment="1">
      <alignment horizontal="center" vertical="center"/>
    </xf>
    <xf numFmtId="176" fontId="61" fillId="0" borderId="2" xfId="0" applyNumberFormat="1" applyFont="1" applyBorder="1" applyAlignment="1">
      <alignment horizontal="right" vertical="center" indent="1"/>
    </xf>
    <xf numFmtId="176" fontId="76" fillId="0" borderId="0" xfId="0" applyNumberFormat="1" applyFont="1" applyAlignment="1">
      <alignment horizontal="left" vertical="center" shrinkToFit="1"/>
    </xf>
    <xf numFmtId="2" fontId="61" fillId="0" borderId="4" xfId="0" applyNumberFormat="1" applyFont="1" applyBorder="1" applyAlignment="1">
      <alignment horizontal="right" vertical="center"/>
    </xf>
    <xf numFmtId="1" fontId="97" fillId="0" borderId="8" xfId="0" quotePrefix="1" applyNumberFormat="1" applyFont="1" applyBorder="1" applyAlignment="1">
      <alignment horizontal="center" vertical="center"/>
    </xf>
    <xf numFmtId="2" fontId="86" fillId="0" borderId="0" xfId="0" applyNumberFormat="1" applyFont="1" applyAlignment="1">
      <alignment vertical="center"/>
    </xf>
    <xf numFmtId="2" fontId="86" fillId="0" borderId="0" xfId="0" quotePrefix="1" applyNumberFormat="1" applyFont="1" applyAlignment="1">
      <alignment horizontal="left" vertical="center"/>
    </xf>
    <xf numFmtId="2" fontId="76" fillId="0" borderId="0" xfId="0" quotePrefix="1" applyNumberFormat="1" applyFont="1" applyAlignment="1">
      <alignment horizontal="left" vertical="center"/>
    </xf>
    <xf numFmtId="1" fontId="97" fillId="0" borderId="0" xfId="0" applyNumberFormat="1" applyFont="1" applyAlignment="1">
      <alignment horizontal="left" vertical="center"/>
    </xf>
    <xf numFmtId="1" fontId="86" fillId="0" borderId="7" xfId="0" quotePrefix="1" applyNumberFormat="1" applyFont="1" applyBorder="1" applyAlignment="1">
      <alignment horizontal="center" vertical="center"/>
    </xf>
    <xf numFmtId="2" fontId="83" fillId="0" borderId="0" xfId="0" applyNumberFormat="1" applyFont="1" applyAlignment="1">
      <alignment horizontal="center" vertical="center"/>
    </xf>
    <xf numFmtId="2" fontId="86" fillId="0" borderId="7" xfId="0" applyNumberFormat="1" applyFont="1" applyBorder="1" applyAlignment="1">
      <alignment horizontal="right" vertical="center"/>
    </xf>
    <xf numFmtId="2" fontId="86" fillId="0" borderId="3" xfId="0" applyNumberFormat="1" applyFont="1" applyBorder="1" applyAlignment="1">
      <alignment horizontal="center" vertical="center"/>
    </xf>
    <xf numFmtId="2" fontId="86" fillId="0" borderId="7" xfId="0" applyNumberFormat="1" applyFont="1" applyBorder="1" applyAlignment="1">
      <alignment horizontal="center" vertical="center"/>
    </xf>
    <xf numFmtId="193" fontId="86" fillId="0" borderId="7" xfId="0" applyNumberFormat="1" applyFont="1" applyBorder="1" applyAlignment="1">
      <alignment horizontal="center" vertical="center"/>
    </xf>
    <xf numFmtId="2" fontId="92" fillId="0" borderId="7" xfId="0" applyNumberFormat="1" applyFont="1" applyBorder="1" applyAlignment="1">
      <alignment horizontal="center" vertical="center"/>
    </xf>
    <xf numFmtId="2" fontId="83" fillId="0" borderId="5" xfId="0" applyNumberFormat="1" applyFont="1" applyBorder="1" applyAlignment="1">
      <alignment horizontal="center" vertical="top"/>
    </xf>
    <xf numFmtId="0" fontId="86" fillId="0" borderId="0" xfId="0" applyFont="1" applyAlignment="1">
      <alignment horizontal="right" vertical="center"/>
    </xf>
    <xf numFmtId="2" fontId="86" fillId="0" borderId="22" xfId="0" applyNumberFormat="1" applyFont="1" applyBorder="1" applyAlignment="1">
      <alignment horizontal="right" vertical="center"/>
    </xf>
    <xf numFmtId="2" fontId="86" fillId="0" borderId="6" xfId="0" applyNumberFormat="1" applyFont="1" applyBorder="1" applyAlignment="1">
      <alignment horizontal="center" vertical="center"/>
    </xf>
    <xf numFmtId="2" fontId="86" fillId="0" borderId="9" xfId="0" applyNumberFormat="1" applyFont="1" applyBorder="1" applyAlignment="1">
      <alignment horizontal="center" vertical="center"/>
    </xf>
    <xf numFmtId="193" fontId="86" fillId="0" borderId="22" xfId="0" applyNumberFormat="1" applyFont="1" applyBorder="1" applyAlignment="1">
      <alignment horizontal="center" vertical="center"/>
    </xf>
    <xf numFmtId="2" fontId="92" fillId="0" borderId="22" xfId="0" applyNumberFormat="1" applyFont="1" applyBorder="1" applyAlignment="1">
      <alignment horizontal="center" vertical="center"/>
    </xf>
    <xf numFmtId="2" fontId="86" fillId="0" borderId="22" xfId="0" applyNumberFormat="1" applyFont="1" applyBorder="1" applyAlignment="1">
      <alignment horizontal="center" vertical="center"/>
    </xf>
    <xf numFmtId="0" fontId="76" fillId="0" borderId="7" xfId="0" applyFont="1" applyBorder="1" applyAlignment="1">
      <alignment horizontal="center" vertical="center"/>
    </xf>
    <xf numFmtId="176" fontId="86" fillId="0" borderId="0" xfId="0" applyNumberFormat="1" applyFont="1" applyAlignment="1">
      <alignment vertical="center"/>
    </xf>
    <xf numFmtId="193" fontId="86" fillId="0" borderId="9" xfId="0" applyNumberFormat="1" applyFont="1" applyBorder="1" applyAlignment="1">
      <alignment horizontal="center" vertical="center"/>
    </xf>
    <xf numFmtId="2" fontId="92" fillId="0" borderId="9" xfId="0" applyNumberFormat="1" applyFont="1" applyBorder="1" applyAlignment="1">
      <alignment horizontal="center" vertical="center"/>
    </xf>
    <xf numFmtId="2" fontId="86" fillId="0" borderId="9" xfId="0" applyNumberFormat="1" applyFont="1" applyBorder="1" applyAlignment="1">
      <alignment horizontal="right" vertical="center"/>
    </xf>
    <xf numFmtId="176" fontId="86" fillId="0" borderId="9" xfId="0" applyNumberFormat="1" applyFont="1" applyBorder="1" applyAlignment="1">
      <alignment horizontal="center" vertical="center"/>
    </xf>
    <xf numFmtId="193" fontId="86" fillId="0" borderId="21" xfId="0" applyNumberFormat="1" applyFont="1" applyBorder="1" applyAlignment="1">
      <alignment horizontal="center" vertical="center"/>
    </xf>
    <xf numFmtId="2" fontId="97" fillId="0" borderId="23" xfId="0" applyNumberFormat="1" applyFont="1" applyBorder="1" applyAlignment="1">
      <alignment horizontal="center" vertical="center"/>
    </xf>
    <xf numFmtId="2" fontId="97" fillId="0" borderId="24" xfId="0" applyNumberFormat="1" applyFont="1" applyBorder="1" applyAlignment="1">
      <alignment horizontal="center" vertical="center"/>
    </xf>
    <xf numFmtId="1" fontId="86" fillId="0" borderId="0" xfId="0" applyNumberFormat="1" applyFont="1" applyAlignment="1">
      <alignment vertical="center"/>
    </xf>
    <xf numFmtId="1" fontId="92" fillId="0" borderId="0" xfId="0" quotePrefix="1" applyNumberFormat="1" applyFont="1" applyAlignment="1">
      <alignment horizontal="left" vertical="center"/>
    </xf>
    <xf numFmtId="2" fontId="106" fillId="0" borderId="0" xfId="0" applyNumberFormat="1" applyFont="1" applyAlignment="1">
      <alignment horizontal="center" vertical="center"/>
    </xf>
    <xf numFmtId="176" fontId="76" fillId="2" borderId="0" xfId="0" applyNumberFormat="1" applyFont="1" applyFill="1" applyAlignment="1">
      <alignment vertical="center"/>
    </xf>
    <xf numFmtId="2" fontId="83" fillId="0" borderId="0" xfId="0" applyNumberFormat="1" applyFont="1" applyAlignment="1">
      <alignment horizontal="left" vertical="center"/>
    </xf>
    <xf numFmtId="176" fontId="83" fillId="0" borderId="0" xfId="0" applyNumberFormat="1" applyFont="1" applyAlignment="1">
      <alignment horizontal="center" vertical="center"/>
    </xf>
    <xf numFmtId="176" fontId="76" fillId="0" borderId="2" xfId="0" applyNumberFormat="1" applyFont="1" applyBorder="1" applyAlignment="1">
      <alignment horizontal="center" vertical="center"/>
    </xf>
    <xf numFmtId="191" fontId="76" fillId="0" borderId="2" xfId="0" applyNumberFormat="1" applyFont="1" applyBorder="1" applyAlignment="1">
      <alignment vertical="center"/>
    </xf>
    <xf numFmtId="191" fontId="76" fillId="0" borderId="41" xfId="0" applyNumberFormat="1" applyFont="1" applyBorder="1" applyAlignment="1">
      <alignment vertical="center"/>
    </xf>
    <xf numFmtId="179" fontId="76" fillId="0" borderId="0" xfId="0" applyNumberFormat="1" applyFont="1" applyAlignment="1">
      <alignment vertical="center"/>
    </xf>
    <xf numFmtId="1" fontId="76" fillId="0" borderId="53" xfId="0" applyNumberFormat="1" applyFont="1" applyBorder="1" applyAlignment="1">
      <alignment horizontal="center" vertical="center"/>
    </xf>
    <xf numFmtId="1" fontId="76" fillId="0" borderId="46" xfId="0" applyNumberFormat="1" applyFont="1" applyBorder="1" applyAlignment="1">
      <alignment horizontal="center" vertical="center"/>
    </xf>
    <xf numFmtId="191" fontId="94" fillId="0" borderId="1" xfId="900" applyNumberFormat="1" applyFont="1" applyBorder="1" applyAlignment="1">
      <alignment horizontal="center" vertical="center"/>
    </xf>
    <xf numFmtId="191" fontId="76" fillId="0" borderId="21" xfId="0" applyNumberFormat="1" applyFont="1" applyBorder="1" applyAlignment="1">
      <alignment horizontal="center" vertical="center"/>
    </xf>
    <xf numFmtId="176" fontId="76" fillId="0" borderId="1" xfId="0" applyNumberFormat="1" applyFont="1" applyBorder="1" applyAlignment="1">
      <alignment horizontal="center" vertical="center"/>
    </xf>
    <xf numFmtId="1" fontId="76" fillId="0" borderId="0" xfId="900" applyNumberFormat="1" applyFont="1" applyAlignment="1">
      <alignment horizontal="right" vertical="center"/>
    </xf>
    <xf numFmtId="191" fontId="76" fillId="0" borderId="8" xfId="0" applyNumberFormat="1" applyFont="1" applyBorder="1" applyAlignment="1">
      <alignment vertical="center"/>
    </xf>
    <xf numFmtId="176" fontId="76" fillId="0" borderId="0" xfId="900" applyNumberFormat="1" applyFont="1" applyAlignment="1">
      <alignment vertical="center"/>
    </xf>
    <xf numFmtId="180" fontId="76" fillId="0" borderId="0" xfId="900" applyNumberFormat="1" applyFont="1" applyAlignment="1">
      <alignment vertical="center"/>
    </xf>
    <xf numFmtId="2" fontId="76" fillId="0" borderId="0" xfId="900" applyNumberFormat="1" applyFont="1" applyAlignment="1">
      <alignment horizontal="right" vertical="center"/>
    </xf>
    <xf numFmtId="191" fontId="87" fillId="0" borderId="0" xfId="900" applyNumberFormat="1" applyFont="1" applyAlignment="1">
      <alignment vertical="center"/>
    </xf>
    <xf numFmtId="176" fontId="76" fillId="0" borderId="0" xfId="900" quotePrefix="1" applyNumberFormat="1" applyFont="1" applyAlignment="1">
      <alignment horizontal="right" vertical="center"/>
    </xf>
    <xf numFmtId="1" fontId="76" fillId="0" borderId="0" xfId="900" applyNumberFormat="1" applyFont="1" applyAlignment="1">
      <alignment horizontal="center" vertical="center"/>
    </xf>
    <xf numFmtId="191" fontId="94" fillId="0" borderId="25" xfId="900" applyNumberFormat="1" applyFont="1" applyBorder="1" applyAlignment="1">
      <alignment horizontal="left" vertical="center"/>
    </xf>
    <xf numFmtId="191" fontId="94" fillId="0" borderId="2" xfId="900" applyNumberFormat="1" applyFont="1" applyBorder="1" applyAlignment="1">
      <alignment horizontal="left" vertical="center"/>
    </xf>
    <xf numFmtId="2" fontId="76" fillId="0" borderId="0" xfId="900" quotePrefix="1" applyNumberFormat="1" applyFont="1" applyAlignment="1">
      <alignment horizontal="right" vertical="center"/>
    </xf>
    <xf numFmtId="191" fontId="94" fillId="0" borderId="49" xfId="900" applyNumberFormat="1" applyFont="1" applyBorder="1" applyAlignment="1">
      <alignment horizontal="left" vertical="center"/>
    </xf>
    <xf numFmtId="2" fontId="76" fillId="2" borderId="0" xfId="900" quotePrefix="1" applyNumberFormat="1" applyFont="1" applyFill="1" applyAlignment="1">
      <alignment horizontal="right" vertical="center"/>
    </xf>
    <xf numFmtId="191" fontId="96" fillId="0" borderId="48" xfId="900" applyNumberFormat="1" applyFont="1" applyBorder="1" applyAlignment="1">
      <alignment horizontal="center" vertical="center"/>
    </xf>
    <xf numFmtId="191" fontId="76" fillId="0" borderId="8" xfId="900" applyNumberFormat="1" applyFont="1" applyBorder="1" applyAlignment="1">
      <alignment horizontal="left" vertical="center"/>
    </xf>
    <xf numFmtId="191" fontId="86" fillId="0" borderId="1" xfId="900" applyNumberFormat="1" applyFont="1" applyBorder="1" applyAlignment="1">
      <alignment horizontal="center" vertical="center"/>
    </xf>
    <xf numFmtId="193" fontId="86" fillId="0" borderId="1" xfId="900" applyNumberFormat="1" applyFont="1" applyBorder="1" applyAlignment="1">
      <alignment horizontal="center" vertical="center"/>
    </xf>
    <xf numFmtId="194" fontId="86" fillId="0" borderId="1" xfId="900" applyNumberFormat="1" applyFont="1" applyBorder="1" applyAlignment="1">
      <alignment horizontal="center" vertical="center"/>
    </xf>
    <xf numFmtId="191" fontId="86" fillId="0" borderId="1" xfId="900" applyNumberFormat="1" applyFont="1" applyBorder="1" applyAlignment="1">
      <alignment vertical="center"/>
    </xf>
    <xf numFmtId="2" fontId="76" fillId="2" borderId="0" xfId="900" applyNumberFormat="1" applyFont="1" applyFill="1" applyAlignment="1">
      <alignment horizontal="right" vertical="center"/>
    </xf>
    <xf numFmtId="191" fontId="76" fillId="0" borderId="11" xfId="900" applyNumberFormat="1" applyFont="1" applyBorder="1" applyAlignment="1">
      <alignment horizontal="left" vertical="center"/>
    </xf>
    <xf numFmtId="191" fontId="94" fillId="0" borderId="2" xfId="900" applyNumberFormat="1" applyFont="1" applyBorder="1" applyAlignment="1">
      <alignment horizontal="center" vertical="center"/>
    </xf>
    <xf numFmtId="191" fontId="94" fillId="0" borderId="0" xfId="900" applyNumberFormat="1" applyFont="1" applyAlignment="1">
      <alignment horizontal="center" vertical="center"/>
    </xf>
    <xf numFmtId="2" fontId="76" fillId="2" borderId="0" xfId="900" applyNumberFormat="1" applyFont="1" applyFill="1" applyAlignment="1">
      <alignment vertical="center"/>
    </xf>
    <xf numFmtId="191" fontId="111" fillId="0" borderId="1" xfId="900" applyNumberFormat="1" applyFont="1" applyBorder="1" applyAlignment="1">
      <alignment vertical="center"/>
    </xf>
    <xf numFmtId="191" fontId="91" fillId="0" borderId="0" xfId="900" applyNumberFormat="1" applyFont="1" applyAlignment="1">
      <alignment horizontal="left" vertical="center"/>
    </xf>
    <xf numFmtId="2" fontId="76" fillId="0" borderId="0" xfId="900" applyNumberFormat="1" applyFont="1" applyAlignment="1">
      <alignment vertical="center"/>
    </xf>
    <xf numFmtId="191" fontId="76" fillId="0" borderId="0" xfId="0" applyNumberFormat="1" applyFont="1" applyAlignment="1">
      <alignment horizontal="right" vertical="center"/>
    </xf>
    <xf numFmtId="191" fontId="94" fillId="0" borderId="0" xfId="0" applyNumberFormat="1" applyFont="1" applyAlignment="1">
      <alignment horizontal="right" vertical="center"/>
    </xf>
    <xf numFmtId="191" fontId="94" fillId="0" borderId="0" xfId="0" applyNumberFormat="1" applyFont="1" applyAlignment="1">
      <alignment horizontal="center" vertical="center"/>
    </xf>
    <xf numFmtId="2" fontId="76" fillId="8" borderId="0" xfId="0" applyNumberFormat="1" applyFont="1" applyFill="1" applyAlignment="1">
      <alignment vertical="center"/>
    </xf>
    <xf numFmtId="200" fontId="41" fillId="0" borderId="0" xfId="0" applyNumberFormat="1" applyFont="1" applyAlignment="1">
      <alignment vertical="center"/>
    </xf>
    <xf numFmtId="185" fontId="10" fillId="0" borderId="0" xfId="0" applyNumberFormat="1" applyFont="1" applyAlignment="1">
      <alignment vertical="center"/>
    </xf>
    <xf numFmtId="10" fontId="47" fillId="0" borderId="0" xfId="866" applyNumberFormat="1" applyFont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23" fillId="0" borderId="0" xfId="0" applyNumberFormat="1" applyFont="1" applyAlignment="1">
      <alignment horizontal="center" vertical="center"/>
    </xf>
    <xf numFmtId="1" fontId="61" fillId="0" borderId="4" xfId="0" applyNumberFormat="1" applyFont="1" applyBorder="1" applyAlignment="1">
      <alignment vertical="center"/>
    </xf>
    <xf numFmtId="1" fontId="61" fillId="0" borderId="4" xfId="0" applyNumberFormat="1" applyFont="1" applyBorder="1" applyAlignment="1">
      <alignment horizontal="right" vertical="center"/>
    </xf>
    <xf numFmtId="176" fontId="61" fillId="0" borderId="4" xfId="0" applyNumberFormat="1" applyFont="1" applyBorder="1" applyAlignment="1">
      <alignment horizontal="right" vertical="center"/>
    </xf>
    <xf numFmtId="176" fontId="76" fillId="0" borderId="2" xfId="0" applyNumberFormat="1" applyFont="1" applyBorder="1" applyAlignment="1">
      <alignment horizontal="right" vertical="center" indent="1"/>
    </xf>
    <xf numFmtId="2" fontId="76" fillId="0" borderId="51" xfId="0" applyNumberFormat="1" applyFont="1" applyBorder="1" applyAlignment="1">
      <alignment horizontal="center" vertical="center"/>
    </xf>
    <xf numFmtId="2" fontId="76" fillId="0" borderId="2" xfId="0" applyNumberFormat="1" applyFont="1" applyBorder="1" applyAlignment="1">
      <alignment horizontal="center" vertical="center"/>
    </xf>
    <xf numFmtId="176" fontId="76" fillId="0" borderId="51" xfId="864" applyNumberFormat="1" applyFont="1" applyBorder="1" applyAlignment="1">
      <alignment horizontal="center" vertical="center"/>
    </xf>
    <xf numFmtId="176" fontId="76" fillId="0" borderId="51" xfId="0" applyNumberFormat="1" applyFont="1" applyBorder="1" applyAlignment="1">
      <alignment horizontal="center" vertical="center" wrapText="1"/>
    </xf>
    <xf numFmtId="1" fontId="76" fillId="0" borderId="0" xfId="0" quotePrefix="1" applyNumberFormat="1" applyFont="1" applyAlignment="1">
      <alignment horizontal="left" vertical="center"/>
    </xf>
    <xf numFmtId="190" fontId="76" fillId="0" borderId="0" xfId="0" applyNumberFormat="1" applyFont="1" applyAlignment="1">
      <alignment vertical="center"/>
    </xf>
    <xf numFmtId="41" fontId="10" fillId="0" borderId="0" xfId="901" applyFont="1" applyAlignment="1">
      <alignment vertical="center"/>
    </xf>
    <xf numFmtId="1" fontId="10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76" fillId="0" borderId="1" xfId="0" applyNumberFormat="1" applyFont="1" applyBorder="1" applyAlignment="1">
      <alignment horizontal="left" vertical="center"/>
    </xf>
    <xf numFmtId="176" fontId="83" fillId="0" borderId="0" xfId="0" applyNumberFormat="1" applyFont="1" applyAlignment="1">
      <alignment horizontal="right" vertical="center"/>
    </xf>
    <xf numFmtId="2" fontId="90" fillId="0" borderId="0" xfId="0" applyNumberFormat="1" applyFont="1" applyAlignment="1">
      <alignment vertical="center"/>
    </xf>
    <xf numFmtId="1" fontId="90" fillId="0" borderId="0" xfId="0" applyNumberFormat="1" applyFont="1" applyAlignment="1">
      <alignment horizontal="right" vertical="center"/>
    </xf>
    <xf numFmtId="176" fontId="113" fillId="0" borderId="0" xfId="0" applyNumberFormat="1" applyFont="1" applyAlignment="1">
      <alignment vertical="center"/>
    </xf>
    <xf numFmtId="176" fontId="107" fillId="0" borderId="0" xfId="0" applyNumberFormat="1" applyFont="1" applyAlignment="1">
      <alignment vertical="center"/>
    </xf>
    <xf numFmtId="1" fontId="113" fillId="0" borderId="0" xfId="0" applyNumberFormat="1" applyFont="1" applyAlignment="1">
      <alignment vertical="center"/>
    </xf>
    <xf numFmtId="1" fontId="107" fillId="0" borderId="0" xfId="0" applyNumberFormat="1" applyFont="1" applyAlignment="1">
      <alignment vertical="center"/>
    </xf>
    <xf numFmtId="1" fontId="81" fillId="0" borderId="0" xfId="0" applyNumberFormat="1" applyFont="1" applyAlignment="1">
      <alignment horizontal="center" vertical="center"/>
    </xf>
    <xf numFmtId="1" fontId="56" fillId="0" borderId="0" xfId="0" applyNumberFormat="1" applyFont="1" applyAlignment="1">
      <alignment horizontal="left" vertical="center"/>
    </xf>
    <xf numFmtId="1" fontId="56" fillId="0" borderId="8" xfId="0" quotePrefix="1" applyNumberFormat="1" applyFont="1" applyBorder="1" applyAlignment="1">
      <alignment horizontal="left" vertical="center"/>
    </xf>
    <xf numFmtId="185" fontId="40" fillId="5" borderId="0" xfId="866" applyNumberFormat="1" applyFont="1" applyFill="1" applyBorder="1">
      <alignment vertical="center"/>
    </xf>
    <xf numFmtId="2" fontId="23" fillId="0" borderId="19" xfId="0" applyNumberFormat="1" applyFont="1" applyBorder="1" applyAlignment="1">
      <alignment horizontal="center" vertical="center"/>
    </xf>
    <xf numFmtId="2" fontId="10" fillId="0" borderId="56" xfId="0" applyNumberFormat="1" applyFont="1" applyBorder="1" applyAlignment="1">
      <alignment horizontal="left" vertical="center"/>
    </xf>
    <xf numFmtId="193" fontId="76" fillId="0" borderId="0" xfId="0" applyNumberFormat="1" applyFont="1" applyAlignment="1">
      <alignment vertical="center"/>
    </xf>
    <xf numFmtId="0" fontId="114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76" fillId="0" borderId="1" xfId="0" applyFont="1" applyBorder="1" applyAlignment="1">
      <alignment horizontal="left" vertical="center"/>
    </xf>
    <xf numFmtId="202" fontId="76" fillId="0" borderId="0" xfId="0" applyNumberFormat="1" applyFont="1" applyAlignment="1">
      <alignment vertical="center"/>
    </xf>
    <xf numFmtId="176" fontId="87" fillId="0" borderId="0" xfId="0" quotePrefix="1" applyNumberFormat="1" applyFont="1" applyAlignment="1">
      <alignment horizontal="left" vertical="center"/>
    </xf>
    <xf numFmtId="176" fontId="25" fillId="0" borderId="0" xfId="0" quotePrefix="1" applyNumberFormat="1" applyFont="1" applyAlignment="1">
      <alignment horizontal="left" vertical="center"/>
    </xf>
    <xf numFmtId="191" fontId="87" fillId="0" borderId="0" xfId="0" applyNumberFormat="1" applyFont="1" applyAlignment="1">
      <alignment horizontal="left" vertical="center"/>
    </xf>
    <xf numFmtId="0" fontId="87" fillId="0" borderId="0" xfId="0" applyFont="1" applyAlignment="1">
      <alignment horizontal="left" vertical="center"/>
    </xf>
    <xf numFmtId="176" fontId="87" fillId="0" borderId="0" xfId="0" applyNumberFormat="1" applyFont="1" applyAlignment="1">
      <alignment horizontal="left" vertical="center"/>
    </xf>
    <xf numFmtId="2" fontId="52" fillId="0" borderId="0" xfId="0" applyNumberFormat="1" applyFont="1" applyAlignment="1">
      <alignment horizontal="center" vertical="center"/>
    </xf>
    <xf numFmtId="2" fontId="30" fillId="0" borderId="13" xfId="0" applyNumberFormat="1" applyFont="1" applyBorder="1" applyAlignment="1">
      <alignment vertical="center"/>
    </xf>
    <xf numFmtId="2" fontId="30" fillId="0" borderId="14" xfId="0" applyNumberFormat="1" applyFont="1" applyBorder="1" applyAlignment="1">
      <alignment vertical="center"/>
    </xf>
    <xf numFmtId="0" fontId="87" fillId="0" borderId="0" xfId="0" applyFont="1" applyAlignment="1">
      <alignment vertical="center"/>
    </xf>
    <xf numFmtId="176" fontId="87" fillId="0" borderId="0" xfId="0" applyNumberFormat="1" applyFont="1" applyAlignment="1">
      <alignment vertical="center"/>
    </xf>
    <xf numFmtId="10" fontId="10" fillId="0" borderId="0" xfId="866" applyNumberFormat="1" applyFont="1" applyAlignment="1">
      <alignment vertical="center"/>
    </xf>
    <xf numFmtId="200" fontId="10" fillId="0" borderId="0" xfId="0" applyNumberFormat="1" applyFont="1" applyAlignment="1">
      <alignment vertical="center"/>
    </xf>
    <xf numFmtId="176" fontId="87" fillId="0" borderId="0" xfId="0" applyNumberFormat="1" applyFont="1" applyAlignment="1">
      <alignment horizontal="center" vertical="center"/>
    </xf>
    <xf numFmtId="2" fontId="119" fillId="0" borderId="1" xfId="0" applyNumberFormat="1" applyFont="1" applyBorder="1" applyAlignment="1">
      <alignment horizontal="left" vertical="center"/>
    </xf>
    <xf numFmtId="176" fontId="119" fillId="0" borderId="41" xfId="0" applyNumberFormat="1" applyFont="1" applyBorder="1" applyAlignment="1">
      <alignment horizontal="left" vertical="center"/>
    </xf>
    <xf numFmtId="178" fontId="119" fillId="0" borderId="0" xfId="0" applyNumberFormat="1" applyFont="1" applyAlignment="1">
      <alignment horizontal="center" vertical="center"/>
    </xf>
    <xf numFmtId="0" fontId="119" fillId="0" borderId="0" xfId="0" applyFont="1" applyAlignment="1">
      <alignment vertical="center"/>
    </xf>
    <xf numFmtId="178" fontId="119" fillId="0" borderId="0" xfId="0" applyNumberFormat="1" applyFont="1" applyAlignment="1">
      <alignment vertical="center"/>
    </xf>
    <xf numFmtId="0" fontId="119" fillId="0" borderId="0" xfId="0" applyFont="1" applyAlignment="1">
      <alignment horizontal="center" vertical="center"/>
    </xf>
    <xf numFmtId="176" fontId="119" fillId="0" borderId="0" xfId="0" applyNumberFormat="1" applyFont="1" applyAlignment="1">
      <alignment horizontal="left" vertical="center"/>
    </xf>
    <xf numFmtId="177" fontId="119" fillId="0" borderId="0" xfId="0" applyNumberFormat="1" applyFont="1" applyAlignment="1">
      <alignment horizontal="center" vertical="center"/>
    </xf>
    <xf numFmtId="193" fontId="76" fillId="0" borderId="21" xfId="0" applyNumberFormat="1" applyFont="1" applyBorder="1" applyAlignment="1">
      <alignment horizontal="center" vertical="center"/>
    </xf>
    <xf numFmtId="2" fontId="116" fillId="0" borderId="0" xfId="0" applyNumberFormat="1" applyFont="1" applyAlignment="1">
      <alignment horizontal="right" vertical="center"/>
    </xf>
    <xf numFmtId="2" fontId="87" fillId="0" borderId="0" xfId="0" applyNumberFormat="1" applyFont="1" applyAlignment="1">
      <alignment horizontal="left" vertical="center"/>
    </xf>
    <xf numFmtId="176" fontId="81" fillId="0" borderId="0" xfId="0" applyNumberFormat="1" applyFont="1" applyAlignment="1">
      <alignment horizontal="left" vertical="center"/>
    </xf>
    <xf numFmtId="0" fontId="76" fillId="0" borderId="23" xfId="0" applyFont="1" applyBorder="1" applyAlignment="1">
      <alignment vertical="center"/>
    </xf>
    <xf numFmtId="0" fontId="76" fillId="0" borderId="24" xfId="0" applyFont="1" applyBorder="1" applyAlignment="1">
      <alignment vertical="center"/>
    </xf>
    <xf numFmtId="0" fontId="76" fillId="0" borderId="1" xfId="0" quotePrefix="1" applyFont="1" applyBorder="1" applyAlignment="1">
      <alignment vertical="center"/>
    </xf>
    <xf numFmtId="0" fontId="76" fillId="0" borderId="1" xfId="0" quotePrefix="1" applyFont="1" applyBorder="1" applyAlignment="1">
      <alignment horizontal="center" vertical="center"/>
    </xf>
    <xf numFmtId="0" fontId="76" fillId="0" borderId="1" xfId="0" quotePrefix="1" applyFont="1" applyBorder="1" applyAlignment="1">
      <alignment horizontal="left" vertical="center"/>
    </xf>
    <xf numFmtId="0" fontId="76" fillId="0" borderId="1" xfId="0" applyFont="1" applyBorder="1" applyAlignment="1">
      <alignment horizontal="right" vertical="center" indent="1"/>
    </xf>
    <xf numFmtId="176" fontId="76" fillId="0" borderId="7" xfId="0" applyNumberFormat="1" applyFont="1" applyBorder="1" applyAlignment="1">
      <alignment horizontal="center" vertical="center"/>
    </xf>
    <xf numFmtId="0" fontId="76" fillId="0" borderId="11" xfId="0" quotePrefix="1" applyFont="1" applyBorder="1" applyAlignment="1">
      <alignment horizontal="center" vertical="center"/>
    </xf>
    <xf numFmtId="176" fontId="76" fillId="0" borderId="8" xfId="0" applyNumberFormat="1" applyFont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176" fontId="120" fillId="0" borderId="0" xfId="0" applyNumberFormat="1" applyFont="1" applyAlignment="1">
      <alignment horizontal="left" vertical="center"/>
    </xf>
    <xf numFmtId="176" fontId="87" fillId="0" borderId="57" xfId="0" applyNumberFormat="1" applyFont="1" applyBorder="1" applyAlignment="1">
      <alignment horizontal="left" vertical="center"/>
    </xf>
    <xf numFmtId="176" fontId="87" fillId="0" borderId="58" xfId="0" applyNumberFormat="1" applyFont="1" applyBorder="1" applyAlignment="1">
      <alignment horizontal="left" vertical="center"/>
    </xf>
    <xf numFmtId="2" fontId="120" fillId="0" borderId="58" xfId="866" applyNumberFormat="1" applyFont="1" applyBorder="1" applyAlignment="1">
      <alignment horizontal="left" vertical="center"/>
    </xf>
    <xf numFmtId="9" fontId="120" fillId="0" borderId="59" xfId="866" applyFont="1" applyBorder="1" applyAlignment="1">
      <alignment horizontal="left" vertical="center"/>
    </xf>
    <xf numFmtId="176" fontId="121" fillId="0" borderId="0" xfId="0" applyNumberFormat="1" applyFont="1" applyAlignment="1">
      <alignment horizontal="left" vertical="center"/>
    </xf>
    <xf numFmtId="176" fontId="122" fillId="0" borderId="0" xfId="0" quotePrefix="1" applyNumberFormat="1" applyFont="1" applyAlignment="1">
      <alignment horizontal="left" vertical="center"/>
    </xf>
    <xf numFmtId="191" fontId="87" fillId="0" borderId="0" xfId="900" applyNumberFormat="1" applyFont="1" applyAlignment="1">
      <alignment horizontal="left" vertical="center"/>
    </xf>
    <xf numFmtId="193" fontId="76" fillId="0" borderId="52" xfId="0" applyNumberFormat="1" applyFont="1" applyBorder="1" applyAlignment="1">
      <alignment horizontal="center" vertical="center"/>
    </xf>
    <xf numFmtId="2" fontId="76" fillId="0" borderId="1" xfId="0" applyNumberFormat="1" applyFont="1" applyBorder="1" applyAlignment="1">
      <alignment vertical="center"/>
    </xf>
    <xf numFmtId="0" fontId="76" fillId="0" borderId="1" xfId="900" applyFont="1" applyBorder="1" applyAlignment="1">
      <alignment horizontal="center" vertical="center"/>
    </xf>
    <xf numFmtId="0" fontId="76" fillId="0" borderId="4" xfId="900" applyFont="1" applyBorder="1" applyAlignment="1">
      <alignment horizontal="center" vertical="center"/>
    </xf>
    <xf numFmtId="191" fontId="76" fillId="0" borderId="1" xfId="900" applyNumberFormat="1" applyFont="1" applyBorder="1" applyAlignment="1">
      <alignment horizontal="right" vertical="center"/>
    </xf>
    <xf numFmtId="191" fontId="76" fillId="0" borderId="4" xfId="900" applyNumberFormat="1" applyFont="1" applyBorder="1" applyAlignment="1">
      <alignment horizontal="right" vertical="center"/>
    </xf>
    <xf numFmtId="191" fontId="120" fillId="0" borderId="0" xfId="900" applyNumberFormat="1" applyFont="1" applyAlignment="1">
      <alignment horizontal="center" vertical="center"/>
    </xf>
    <xf numFmtId="191" fontId="87" fillId="0" borderId="25" xfId="900" applyNumberFormat="1" applyFont="1" applyBorder="1" applyAlignment="1">
      <alignment horizontal="left" vertical="center"/>
    </xf>
    <xf numFmtId="191" fontId="76" fillId="0" borderId="25" xfId="900" applyNumberFormat="1" applyFont="1" applyBorder="1" applyAlignment="1">
      <alignment horizontal="left" vertical="center"/>
    </xf>
    <xf numFmtId="191" fontId="87" fillId="0" borderId="5" xfId="900" applyNumberFormat="1" applyFont="1" applyBorder="1" applyAlignment="1">
      <alignment horizontal="left" vertical="center"/>
    </xf>
    <xf numFmtId="185" fontId="76" fillId="0" borderId="23" xfId="900" applyNumberFormat="1" applyFont="1" applyBorder="1" applyAlignment="1">
      <alignment vertical="center"/>
    </xf>
    <xf numFmtId="191" fontId="87" fillId="0" borderId="0" xfId="900" applyNumberFormat="1" applyFont="1" applyAlignment="1">
      <alignment horizontal="right" vertical="center"/>
    </xf>
    <xf numFmtId="191" fontId="120" fillId="0" borderId="0" xfId="900" applyNumberFormat="1" applyFont="1" applyAlignment="1">
      <alignment vertical="center"/>
    </xf>
    <xf numFmtId="176" fontId="76" fillId="0" borderId="4" xfId="900" applyNumberFormat="1" applyFont="1" applyBorder="1" applyAlignment="1">
      <alignment horizontal="right" vertical="center"/>
    </xf>
    <xf numFmtId="191" fontId="87" fillId="0" borderId="4" xfId="900" applyNumberFormat="1" applyFont="1" applyBorder="1" applyAlignment="1">
      <alignment vertical="center"/>
    </xf>
    <xf numFmtId="2" fontId="76" fillId="0" borderId="4" xfId="900" applyNumberFormat="1" applyFont="1" applyBorder="1" applyAlignment="1">
      <alignment horizontal="right" vertical="center"/>
    </xf>
    <xf numFmtId="2" fontId="76" fillId="0" borderId="3" xfId="900" applyNumberFormat="1" applyFont="1" applyBorder="1" applyAlignment="1">
      <alignment horizontal="right" vertical="center"/>
    </xf>
    <xf numFmtId="191" fontId="87" fillId="0" borderId="4" xfId="900" applyNumberFormat="1" applyFont="1" applyBorder="1" applyAlignment="1">
      <alignment horizontal="left" vertical="center"/>
    </xf>
    <xf numFmtId="191" fontId="76" fillId="0" borderId="8" xfId="900" applyNumberFormat="1" applyFont="1" applyBorder="1" applyAlignment="1">
      <alignment horizontal="right" vertical="center"/>
    </xf>
    <xf numFmtId="191" fontId="76" fillId="0" borderId="3" xfId="900" applyNumberFormat="1" applyFont="1" applyBorder="1" applyAlignment="1">
      <alignment vertical="center"/>
    </xf>
    <xf numFmtId="191" fontId="76" fillId="0" borderId="2" xfId="900" quotePrefix="1" applyNumberFormat="1" applyFont="1" applyBorder="1" applyAlignment="1">
      <alignment vertical="center"/>
    </xf>
    <xf numFmtId="191" fontId="76" fillId="0" borderId="2" xfId="900" applyNumberFormat="1" applyFont="1" applyBorder="1" applyAlignment="1">
      <alignment horizontal="right" vertical="center"/>
    </xf>
    <xf numFmtId="191" fontId="87" fillId="0" borderId="2" xfId="900" quotePrefix="1" applyNumberFormat="1" applyFont="1" applyBorder="1" applyAlignment="1">
      <alignment horizontal="left" vertical="center"/>
    </xf>
    <xf numFmtId="191" fontId="87" fillId="0" borderId="2" xfId="900" applyNumberFormat="1" applyFont="1" applyBorder="1" applyAlignment="1">
      <alignment horizontal="left" vertical="center"/>
    </xf>
    <xf numFmtId="0" fontId="76" fillId="0" borderId="47" xfId="900" applyFont="1" applyBorder="1" applyAlignment="1">
      <alignment horizontal="center" vertical="center"/>
    </xf>
    <xf numFmtId="191" fontId="76" fillId="0" borderId="47" xfId="900" applyNumberFormat="1" applyFont="1" applyBorder="1" applyAlignment="1">
      <alignment horizontal="left" vertical="center" indent="1"/>
    </xf>
    <xf numFmtId="191" fontId="76" fillId="0" borderId="47" xfId="900" applyNumberFormat="1" applyFont="1" applyBorder="1" applyAlignment="1">
      <alignment horizontal="left" vertical="center"/>
    </xf>
    <xf numFmtId="191" fontId="76" fillId="0" borderId="43" xfId="900" applyNumberFormat="1" applyFont="1" applyBorder="1" applyAlignment="1">
      <alignment horizontal="left" vertical="center" indent="1"/>
    </xf>
    <xf numFmtId="191" fontId="76" fillId="0" borderId="45" xfId="900" applyNumberFormat="1" applyFont="1" applyBorder="1" applyAlignment="1">
      <alignment horizontal="left" vertical="center"/>
    </xf>
    <xf numFmtId="191" fontId="87" fillId="0" borderId="0" xfId="0" applyNumberFormat="1" applyFont="1" applyAlignment="1">
      <alignment vertical="center"/>
    </xf>
    <xf numFmtId="0" fontId="76" fillId="0" borderId="4" xfId="0" applyFont="1" applyBorder="1" applyAlignment="1">
      <alignment horizontal="center" vertical="center"/>
    </xf>
    <xf numFmtId="0" fontId="76" fillId="0" borderId="8" xfId="0" applyFont="1" applyBorder="1" applyAlignment="1">
      <alignment horizontal="center" vertical="center"/>
    </xf>
    <xf numFmtId="2" fontId="76" fillId="0" borderId="4" xfId="0" applyNumberFormat="1" applyFont="1" applyBorder="1" applyAlignment="1">
      <alignment horizontal="center" vertical="center"/>
    </xf>
    <xf numFmtId="0" fontId="76" fillId="6" borderId="8" xfId="0" applyFont="1" applyFill="1" applyBorder="1" applyAlignment="1">
      <alignment horizontal="center" vertical="center"/>
    </xf>
    <xf numFmtId="191" fontId="76" fillId="0" borderId="47" xfId="900" applyNumberFormat="1" applyFont="1" applyBorder="1" applyAlignment="1">
      <alignment horizontal="center" vertical="center"/>
    </xf>
    <xf numFmtId="191" fontId="76" fillId="0" borderId="54" xfId="900" applyNumberFormat="1" applyFont="1" applyBorder="1" applyAlignment="1">
      <alignment horizontal="center" vertical="center"/>
    </xf>
    <xf numFmtId="191" fontId="76" fillId="0" borderId="55" xfId="900" applyNumberFormat="1" applyFont="1" applyBorder="1" applyAlignment="1">
      <alignment horizontal="center" vertical="center"/>
    </xf>
    <xf numFmtId="191" fontId="87" fillId="0" borderId="0" xfId="900" quotePrefix="1" applyNumberFormat="1" applyFont="1" applyAlignment="1">
      <alignment horizontal="left" vertical="center"/>
    </xf>
    <xf numFmtId="0" fontId="40" fillId="0" borderId="1" xfId="177" applyFont="1" applyBorder="1" applyAlignment="1" applyProtection="1">
      <alignment horizontal="center" vertical="center"/>
      <protection locked="0"/>
    </xf>
    <xf numFmtId="176" fontId="10" fillId="0" borderId="0" xfId="212" applyNumberFormat="1" applyFont="1" applyAlignment="1">
      <alignment horizontal="left" vertical="center"/>
    </xf>
    <xf numFmtId="49" fontId="11" fillId="0" borderId="0" xfId="212" applyNumberFormat="1" applyFont="1" applyAlignment="1">
      <alignment horizontal="left" vertical="center"/>
    </xf>
    <xf numFmtId="2" fontId="10" fillId="0" borderId="0" xfId="212" applyNumberFormat="1" applyFont="1" applyAlignment="1">
      <alignment vertical="center"/>
    </xf>
    <xf numFmtId="0" fontId="10" fillId="0" borderId="0" xfId="212" quotePrefix="1" applyFont="1" applyAlignment="1">
      <alignment horizontal="right" vertical="center"/>
    </xf>
    <xf numFmtId="0" fontId="10" fillId="0" borderId="0" xfId="177" applyFont="1">
      <alignment vertical="center"/>
    </xf>
    <xf numFmtId="0" fontId="41" fillId="0" borderId="0" xfId="177" applyFont="1" applyAlignment="1">
      <alignment horizontal="left" vertical="center"/>
    </xf>
    <xf numFmtId="1" fontId="10" fillId="0" borderId="1" xfId="212" applyNumberFormat="1" applyFont="1" applyBorder="1" applyAlignment="1">
      <alignment horizontal="center" vertical="center"/>
    </xf>
    <xf numFmtId="1" fontId="10" fillId="0" borderId="1" xfId="212" applyNumberFormat="1" applyFont="1" applyBorder="1" applyAlignment="1">
      <alignment horizontal="left" vertical="center"/>
    </xf>
    <xf numFmtId="2" fontId="10" fillId="0" borderId="1" xfId="212" applyNumberFormat="1" applyFont="1" applyBorder="1" applyAlignment="1">
      <alignment vertical="center"/>
    </xf>
    <xf numFmtId="0" fontId="41" fillId="0" borderId="1" xfId="177" applyFont="1" applyBorder="1">
      <alignment vertical="center"/>
    </xf>
    <xf numFmtId="0" fontId="40" fillId="0" borderId="0" xfId="208" applyFont="1">
      <alignment vertical="center"/>
    </xf>
    <xf numFmtId="0" fontId="40" fillId="0" borderId="0" xfId="863" applyFont="1"/>
    <xf numFmtId="0" fontId="43" fillId="0" borderId="0" xfId="177" applyFont="1">
      <alignment vertical="center"/>
    </xf>
    <xf numFmtId="0" fontId="43" fillId="0" borderId="0" xfId="177" applyFont="1" applyAlignment="1">
      <alignment horizontal="right" vertical="center"/>
    </xf>
    <xf numFmtId="0" fontId="41" fillId="0" borderId="0" xfId="208" applyFont="1">
      <alignment vertical="center"/>
    </xf>
    <xf numFmtId="0" fontId="41" fillId="0" borderId="0" xfId="177" applyFont="1" applyAlignment="1">
      <alignment horizontal="center" vertical="center"/>
    </xf>
    <xf numFmtId="0" fontId="41" fillId="0" borderId="0" xfId="177" applyFont="1" applyAlignment="1">
      <alignment horizontal="right" vertical="center"/>
    </xf>
    <xf numFmtId="0" fontId="40" fillId="0" borderId="1" xfId="177" applyFont="1" applyBorder="1" applyAlignment="1">
      <alignment horizontal="center" vertical="center"/>
    </xf>
    <xf numFmtId="0" fontId="40" fillId="0" borderId="0" xfId="177" applyFont="1">
      <alignment vertical="center"/>
    </xf>
    <xf numFmtId="0" fontId="10" fillId="0" borderId="0" xfId="177" applyFont="1" applyAlignment="1">
      <alignment horizontal="right" vertical="center"/>
    </xf>
    <xf numFmtId="0" fontId="10" fillId="0" borderId="0" xfId="177" quotePrefix="1" applyFont="1">
      <alignment vertical="center"/>
    </xf>
    <xf numFmtId="2" fontId="10" fillId="0" borderId="0" xfId="212" applyNumberFormat="1" applyFont="1" applyAlignment="1">
      <alignment horizontal="center" vertical="center"/>
    </xf>
    <xf numFmtId="1" fontId="10" fillId="0" borderId="0" xfId="212" applyNumberFormat="1" applyFont="1" applyAlignment="1">
      <alignment horizontal="center" vertical="center"/>
    </xf>
    <xf numFmtId="0" fontId="10" fillId="0" borderId="0" xfId="208" applyFont="1" applyAlignment="1">
      <alignment horizontal="right" vertical="center"/>
    </xf>
    <xf numFmtId="0" fontId="41" fillId="0" borderId="0" xfId="208" applyFont="1" applyAlignment="1">
      <alignment horizontal="center" vertical="center"/>
    </xf>
    <xf numFmtId="1" fontId="47" fillId="0" borderId="1" xfId="212" applyNumberFormat="1" applyFont="1" applyBorder="1" applyAlignment="1">
      <alignment horizontal="center" vertical="center"/>
    </xf>
    <xf numFmtId="176" fontId="10" fillId="0" borderId="0" xfId="177" applyNumberFormat="1" applyFont="1" applyAlignment="1">
      <alignment horizontal="right" vertical="center"/>
    </xf>
    <xf numFmtId="0" fontId="41" fillId="0" borderId="7" xfId="177" applyFont="1" applyBorder="1" applyAlignment="1">
      <alignment horizontal="center" vertical="center"/>
    </xf>
    <xf numFmtId="0" fontId="41" fillId="0" borderId="1" xfId="177" applyFont="1" applyBorder="1" applyAlignment="1">
      <alignment horizontal="right" vertical="center"/>
    </xf>
    <xf numFmtId="0" fontId="10" fillId="0" borderId="0" xfId="177" applyFont="1" applyAlignment="1">
      <alignment horizontal="left" vertical="center"/>
    </xf>
    <xf numFmtId="183" fontId="10" fillId="0" borderId="0" xfId="177" applyNumberFormat="1" applyFont="1" applyAlignment="1">
      <alignment horizontal="right" vertical="center"/>
    </xf>
    <xf numFmtId="1" fontId="48" fillId="0" borderId="1" xfId="212" applyNumberFormat="1" applyFont="1" applyBorder="1" applyAlignment="1">
      <alignment horizontal="center" vertical="center"/>
    </xf>
    <xf numFmtId="183" fontId="40" fillId="0" borderId="0" xfId="177" applyNumberFormat="1" applyFont="1" applyAlignment="1">
      <alignment horizontal="right" vertical="center"/>
    </xf>
    <xf numFmtId="0" fontId="41" fillId="6" borderId="7" xfId="177" applyFont="1" applyFill="1" applyBorder="1" applyAlignment="1">
      <alignment horizontal="center" vertical="center"/>
    </xf>
    <xf numFmtId="0" fontId="79" fillId="6" borderId="30" xfId="177" applyFont="1" applyFill="1" applyBorder="1" applyAlignment="1">
      <alignment horizontal="center" vertical="center"/>
    </xf>
    <xf numFmtId="0" fontId="79" fillId="6" borderId="31" xfId="177" applyFont="1" applyFill="1" applyBorder="1" applyAlignment="1">
      <alignment horizontal="center" vertical="center"/>
    </xf>
    <xf numFmtId="0" fontId="41" fillId="0" borderId="35" xfId="177" applyFont="1" applyBorder="1" applyAlignment="1">
      <alignment horizontal="center" vertical="center"/>
    </xf>
    <xf numFmtId="2" fontId="41" fillId="6" borderId="35" xfId="177" applyNumberFormat="1" applyFont="1" applyFill="1" applyBorder="1" applyAlignment="1">
      <alignment horizontal="center" vertical="center"/>
    </xf>
    <xf numFmtId="2" fontId="44" fillId="0" borderId="36" xfId="177" applyNumberFormat="1" applyFont="1" applyBorder="1" applyAlignment="1">
      <alignment horizontal="center" vertical="center"/>
    </xf>
    <xf numFmtId="176" fontId="41" fillId="0" borderId="1" xfId="177" applyNumberFormat="1" applyFont="1" applyBorder="1" applyAlignment="1">
      <alignment horizontal="right" vertical="center"/>
    </xf>
    <xf numFmtId="176" fontId="47" fillId="0" borderId="1" xfId="177" applyNumberFormat="1" applyFont="1" applyBorder="1">
      <alignment vertical="center"/>
    </xf>
    <xf numFmtId="176" fontId="41" fillId="0" borderId="1" xfId="177" applyNumberFormat="1" applyFont="1" applyBorder="1">
      <alignment vertical="center"/>
    </xf>
    <xf numFmtId="0" fontId="41" fillId="0" borderId="1" xfId="177" applyFont="1" applyBorder="1" applyAlignment="1">
      <alignment horizontal="center" vertical="center"/>
    </xf>
    <xf numFmtId="2" fontId="44" fillId="0" borderId="1" xfId="177" applyNumberFormat="1" applyFont="1" applyBorder="1" applyAlignment="1">
      <alignment horizontal="center" vertical="center"/>
    </xf>
    <xf numFmtId="2" fontId="41" fillId="6" borderId="4" xfId="177" applyNumberFormat="1" applyFont="1" applyFill="1" applyBorder="1" applyAlignment="1">
      <alignment horizontal="center" vertical="center"/>
    </xf>
    <xf numFmtId="2" fontId="41" fillId="6" borderId="1" xfId="177" applyNumberFormat="1" applyFont="1" applyFill="1" applyBorder="1" applyAlignment="1">
      <alignment horizontal="center" vertical="center"/>
    </xf>
    <xf numFmtId="2" fontId="44" fillId="0" borderId="4" xfId="177" applyNumberFormat="1" applyFont="1" applyBorder="1" applyAlignment="1">
      <alignment horizontal="center" vertical="center"/>
    </xf>
    <xf numFmtId="1" fontId="61" fillId="0" borderId="1" xfId="212" applyNumberFormat="1" applyFont="1" applyBorder="1" applyAlignment="1">
      <alignment horizontal="center" vertical="center"/>
    </xf>
    <xf numFmtId="0" fontId="23" fillId="0" borderId="0" xfId="863" applyFont="1" applyAlignment="1">
      <alignment horizontal="left" vertical="center"/>
    </xf>
    <xf numFmtId="0" fontId="46" fillId="0" borderId="0" xfId="208" quotePrefix="1" applyFont="1" applyAlignment="1">
      <alignment horizontal="center" vertical="center"/>
    </xf>
    <xf numFmtId="0" fontId="46" fillId="0" borderId="0" xfId="208" applyFont="1">
      <alignment vertical="center"/>
    </xf>
    <xf numFmtId="0" fontId="41" fillId="0" borderId="0" xfId="177" applyFont="1" applyAlignment="1">
      <alignment horizontal="right"/>
    </xf>
    <xf numFmtId="0" fontId="41" fillId="0" borderId="0" xfId="177" applyFont="1" applyAlignment="1">
      <alignment horizontal="right" vertical="top"/>
    </xf>
    <xf numFmtId="1" fontId="62" fillId="0" borderId="1" xfId="212" applyNumberFormat="1" applyFont="1" applyBorder="1" applyAlignment="1">
      <alignment horizontal="center" vertical="center"/>
    </xf>
    <xf numFmtId="1" fontId="60" fillId="0" borderId="1" xfId="212" applyNumberFormat="1" applyFont="1" applyBorder="1" applyAlignment="1">
      <alignment horizontal="left" vertical="center"/>
    </xf>
    <xf numFmtId="179" fontId="41" fillId="0" borderId="0" xfId="177" applyNumberFormat="1" applyFont="1" applyAlignment="1">
      <alignment horizontal="right" vertical="top"/>
    </xf>
    <xf numFmtId="0" fontId="45" fillId="0" borderId="0" xfId="177" applyFont="1">
      <alignment vertical="center"/>
    </xf>
    <xf numFmtId="0" fontId="41" fillId="0" borderId="0" xfId="208" applyFont="1" applyAlignment="1">
      <alignment horizontal="right" vertical="top"/>
    </xf>
    <xf numFmtId="0" fontId="63" fillId="0" borderId="0" xfId="863" applyFont="1" applyAlignment="1">
      <alignment horizontal="center" vertical="center"/>
    </xf>
    <xf numFmtId="0" fontId="63" fillId="0" borderId="0" xfId="863" applyFont="1" applyAlignment="1">
      <alignment horizontal="left" vertical="center"/>
    </xf>
    <xf numFmtId="0" fontId="10" fillId="0" borderId="0" xfId="863" applyFont="1" applyAlignment="1">
      <alignment horizontal="right" vertical="center"/>
    </xf>
    <xf numFmtId="0" fontId="10" fillId="0" borderId="0" xfId="863" applyFont="1" applyAlignment="1">
      <alignment horizontal="center" vertical="center"/>
    </xf>
    <xf numFmtId="0" fontId="63" fillId="0" borderId="0" xfId="863" applyFont="1" applyAlignment="1">
      <alignment horizontal="right" vertical="center"/>
    </xf>
    <xf numFmtId="0" fontId="23" fillId="0" borderId="0" xfId="863" applyFont="1" applyAlignment="1">
      <alignment horizontal="center" vertical="center"/>
    </xf>
    <xf numFmtId="188" fontId="23" fillId="0" borderId="0" xfId="863" applyNumberFormat="1" applyFont="1" applyAlignment="1">
      <alignment horizontal="center" vertical="center"/>
    </xf>
    <xf numFmtId="0" fontId="41" fillId="0" borderId="0" xfId="557" applyFont="1" applyAlignment="1">
      <alignment horizontal="right" vertical="center"/>
    </xf>
    <xf numFmtId="186" fontId="10" fillId="0" borderId="0" xfId="863" applyNumberFormat="1" applyFont="1" applyAlignment="1">
      <alignment vertical="center"/>
    </xf>
    <xf numFmtId="0" fontId="40" fillId="0" borderId="0" xfId="863" applyFont="1" applyAlignment="1">
      <alignment horizontal="center" vertical="center"/>
    </xf>
    <xf numFmtId="0" fontId="46" fillId="0" borderId="0" xfId="177" applyFont="1" applyAlignment="1">
      <alignment horizontal="left" vertical="center"/>
    </xf>
    <xf numFmtId="0" fontId="46" fillId="0" borderId="0" xfId="208" applyFont="1" applyAlignment="1">
      <alignment horizontal="right" vertical="center"/>
    </xf>
    <xf numFmtId="0" fontId="46" fillId="0" borderId="0" xfId="208" applyFont="1" applyAlignment="1"/>
    <xf numFmtId="0" fontId="23" fillId="0" borderId="0" xfId="863" applyFont="1" applyAlignment="1">
      <alignment horizontal="right" vertical="center"/>
    </xf>
    <xf numFmtId="176" fontId="10" fillId="0" borderId="0" xfId="863" applyNumberFormat="1" applyFont="1" applyAlignment="1">
      <alignment horizontal="right" vertical="center"/>
    </xf>
    <xf numFmtId="2" fontId="10" fillId="0" borderId="0" xfId="208" applyNumberFormat="1" applyFont="1">
      <alignment vertical="center"/>
    </xf>
    <xf numFmtId="178" fontId="47" fillId="4" borderId="0" xfId="208" applyNumberFormat="1" applyFont="1" applyFill="1" applyAlignment="1">
      <alignment horizontal="right" vertical="center"/>
    </xf>
    <xf numFmtId="2" fontId="41" fillId="0" borderId="0" xfId="557" applyNumberFormat="1" applyFont="1" applyAlignment="1">
      <alignment horizontal="right" vertical="center"/>
    </xf>
    <xf numFmtId="0" fontId="41" fillId="0" borderId="0" xfId="208" applyFont="1" applyAlignment="1">
      <alignment horizontal="right" vertical="center"/>
    </xf>
    <xf numFmtId="188" fontId="54" fillId="0" borderId="0" xfId="863" applyNumberFormat="1" applyFont="1" applyAlignment="1">
      <alignment horizontal="center" vertical="center"/>
    </xf>
    <xf numFmtId="2" fontId="10" fillId="0" borderId="0" xfId="863" applyNumberFormat="1" applyFont="1" applyAlignment="1">
      <alignment horizontal="center" vertical="center"/>
    </xf>
    <xf numFmtId="186" fontId="40" fillId="0" borderId="0" xfId="863" applyNumberFormat="1" applyFont="1" applyAlignment="1">
      <alignment vertical="center"/>
    </xf>
    <xf numFmtId="0" fontId="46" fillId="0" borderId="0" xfId="208" applyFont="1" applyAlignment="1">
      <alignment horizontal="left" vertical="center"/>
    </xf>
    <xf numFmtId="2" fontId="10" fillId="0" borderId="0" xfId="863" applyNumberFormat="1" applyFont="1" applyAlignment="1">
      <alignment horizontal="right" vertical="center"/>
    </xf>
    <xf numFmtId="0" fontId="10" fillId="0" borderId="0" xfId="863" applyFont="1" applyAlignment="1">
      <alignment vertical="center"/>
    </xf>
    <xf numFmtId="0" fontId="67" fillId="0" borderId="0" xfId="863" applyFont="1" applyAlignment="1">
      <alignment horizontal="right" vertical="center"/>
    </xf>
    <xf numFmtId="178" fontId="41" fillId="0" borderId="1" xfId="177" applyNumberFormat="1" applyFont="1" applyBorder="1">
      <alignment vertical="center"/>
    </xf>
    <xf numFmtId="0" fontId="73" fillId="0" borderId="0" xfId="863" applyFont="1" applyAlignment="1">
      <alignment horizontal="right" vertical="center"/>
    </xf>
    <xf numFmtId="0" fontId="41" fillId="0" borderId="0" xfId="208" quotePrefix="1" applyFont="1" applyAlignment="1">
      <alignment horizontal="center" vertical="center"/>
    </xf>
    <xf numFmtId="0" fontId="14" fillId="0" borderId="0" xfId="208" applyFont="1" applyAlignment="1">
      <alignment horizontal="left" vertical="center"/>
    </xf>
    <xf numFmtId="0" fontId="41" fillId="0" borderId="0" xfId="208" applyFont="1" applyAlignment="1">
      <alignment horizontal="left" vertical="center"/>
    </xf>
    <xf numFmtId="176" fontId="10" fillId="0" borderId="0" xfId="208" applyNumberFormat="1" applyFont="1">
      <alignment vertical="center"/>
    </xf>
    <xf numFmtId="0" fontId="43" fillId="0" borderId="0" xfId="208" applyFont="1">
      <alignment vertical="center"/>
    </xf>
    <xf numFmtId="186" fontId="41" fillId="0" borderId="0" xfId="208" applyNumberFormat="1" applyFont="1">
      <alignment vertical="center"/>
    </xf>
    <xf numFmtId="176" fontId="50" fillId="0" borderId="0" xfId="863" applyNumberFormat="1" applyFont="1" applyAlignment="1">
      <alignment horizontal="right" vertical="center"/>
    </xf>
    <xf numFmtId="0" fontId="10" fillId="0" borderId="0" xfId="863" applyFont="1" applyAlignment="1">
      <alignment horizontal="left" vertical="center"/>
    </xf>
    <xf numFmtId="0" fontId="40" fillId="0" borderId="0" xfId="863" applyFont="1" applyAlignment="1">
      <alignment vertical="center"/>
    </xf>
    <xf numFmtId="0" fontId="75" fillId="0" borderId="0" xfId="865" applyFont="1" applyAlignment="1">
      <alignment vertical="center"/>
    </xf>
    <xf numFmtId="2" fontId="47" fillId="0" borderId="1" xfId="863" applyNumberFormat="1" applyFont="1" applyBorder="1" applyAlignment="1">
      <alignment horizontal="right" vertical="center"/>
    </xf>
    <xf numFmtId="2" fontId="10" fillId="0" borderId="0" xfId="863" applyNumberFormat="1" applyFont="1" applyAlignment="1">
      <alignment vertical="center"/>
    </xf>
    <xf numFmtId="0" fontId="51" fillId="0" borderId="0" xfId="865" applyFont="1" applyAlignment="1">
      <alignment vertical="center"/>
    </xf>
    <xf numFmtId="0" fontId="41" fillId="0" borderId="0" xfId="208" quotePrefix="1" applyFont="1">
      <alignment vertical="center"/>
    </xf>
    <xf numFmtId="0" fontId="41" fillId="0" borderId="0" xfId="208" applyFont="1" applyAlignment="1"/>
    <xf numFmtId="0" fontId="48" fillId="0" borderId="1" xfId="208" applyFont="1" applyBorder="1">
      <alignment vertical="center"/>
    </xf>
    <xf numFmtId="0" fontId="41" fillId="0" borderId="1" xfId="208" applyFont="1" applyBorder="1" applyAlignment="1">
      <alignment horizontal="center" vertical="center"/>
    </xf>
    <xf numFmtId="0" fontId="48" fillId="0" borderId="1" xfId="208" applyFont="1" applyBorder="1" applyAlignment="1">
      <alignment horizontal="center" vertical="center"/>
    </xf>
    <xf numFmtId="0" fontId="10" fillId="0" borderId="1" xfId="863" applyFont="1" applyBorder="1" applyAlignment="1">
      <alignment horizontal="center" vertical="center"/>
    </xf>
    <xf numFmtId="0" fontId="41" fillId="0" borderId="8" xfId="208" applyFont="1" applyBorder="1" applyAlignment="1">
      <alignment horizontal="center" vertical="center"/>
    </xf>
    <xf numFmtId="0" fontId="49" fillId="0" borderId="9" xfId="208" applyFont="1" applyBorder="1" applyAlignment="1">
      <alignment horizontal="center" vertical="center"/>
    </xf>
    <xf numFmtId="0" fontId="41" fillId="0" borderId="9" xfId="208" applyFont="1" applyBorder="1" applyAlignment="1">
      <alignment horizontal="center" vertical="center"/>
    </xf>
    <xf numFmtId="0" fontId="41" fillId="0" borderId="10" xfId="208" applyFont="1" applyBorder="1" applyAlignment="1">
      <alignment horizontal="center" vertical="center"/>
    </xf>
    <xf numFmtId="0" fontId="10" fillId="0" borderId="0" xfId="863" applyFont="1"/>
    <xf numFmtId="178" fontId="47" fillId="0" borderId="1" xfId="208" applyNumberFormat="1" applyFont="1" applyBorder="1">
      <alignment vertical="center"/>
    </xf>
    <xf numFmtId="0" fontId="10" fillId="0" borderId="0" xfId="863" quotePrefix="1" applyFont="1" applyAlignment="1">
      <alignment vertical="center"/>
    </xf>
    <xf numFmtId="0" fontId="41" fillId="0" borderId="1" xfId="208" applyFont="1" applyBorder="1" applyAlignment="1"/>
    <xf numFmtId="180" fontId="41" fillId="0" borderId="0" xfId="208" applyNumberFormat="1" applyFont="1">
      <alignment vertical="center"/>
    </xf>
    <xf numFmtId="180" fontId="41" fillId="0" borderId="0" xfId="208" applyNumberFormat="1" applyFont="1" applyAlignment="1">
      <alignment horizontal="right" vertical="center"/>
    </xf>
    <xf numFmtId="179" fontId="41" fillId="0" borderId="0" xfId="208" applyNumberFormat="1" applyFont="1" applyAlignment="1">
      <alignment horizontal="right" vertical="center"/>
    </xf>
    <xf numFmtId="176" fontId="27" fillId="0" borderId="0" xfId="212" applyNumberFormat="1" applyFont="1" applyAlignment="1">
      <alignment vertical="center"/>
    </xf>
    <xf numFmtId="0" fontId="8" fillId="0" borderId="0" xfId="212"/>
    <xf numFmtId="0" fontId="41" fillId="0" borderId="9" xfId="177" applyFont="1" applyBorder="1" applyAlignment="1">
      <alignment horizontal="center" vertical="center"/>
    </xf>
    <xf numFmtId="2" fontId="41" fillId="6" borderId="9" xfId="177" applyNumberFormat="1" applyFont="1" applyFill="1" applyBorder="1" applyAlignment="1">
      <alignment horizontal="center" vertical="center"/>
    </xf>
    <xf numFmtId="2" fontId="44" fillId="0" borderId="6" xfId="177" applyNumberFormat="1" applyFont="1" applyBorder="1" applyAlignment="1">
      <alignment horizontal="center" vertical="center"/>
    </xf>
    <xf numFmtId="176" fontId="47" fillId="0" borderId="1" xfId="177" applyNumberFormat="1" applyFont="1" applyBorder="1" applyAlignment="1">
      <alignment horizontal="right" vertical="center"/>
    </xf>
    <xf numFmtId="0" fontId="47" fillId="0" borderId="0" xfId="177" applyFont="1">
      <alignment vertical="center"/>
    </xf>
    <xf numFmtId="2" fontId="41" fillId="0" borderId="0" xfId="177" applyNumberFormat="1" applyFont="1" applyAlignment="1">
      <alignment horizontal="right" vertical="center"/>
    </xf>
    <xf numFmtId="176" fontId="47" fillId="0" borderId="0" xfId="177" applyNumberFormat="1" applyFont="1">
      <alignment vertical="center"/>
    </xf>
    <xf numFmtId="0" fontId="67" fillId="0" borderId="0" xfId="863" applyFont="1" applyAlignment="1">
      <alignment horizontal="left" vertical="center"/>
    </xf>
    <xf numFmtId="0" fontId="44" fillId="0" borderId="0" xfId="177" applyFont="1">
      <alignment vertical="center"/>
    </xf>
    <xf numFmtId="0" fontId="40" fillId="0" borderId="0" xfId="208" applyFont="1" applyAlignment="1">
      <alignment horizontal="center" vertical="center"/>
    </xf>
    <xf numFmtId="186" fontId="60" fillId="0" borderId="1" xfId="208" applyNumberFormat="1" applyFont="1" applyBorder="1" applyAlignment="1">
      <alignment horizontal="right" vertical="center"/>
    </xf>
    <xf numFmtId="0" fontId="23" fillId="0" borderId="0" xfId="865" applyFont="1" applyAlignment="1">
      <alignment horizontal="left" vertical="center"/>
    </xf>
    <xf numFmtId="2" fontId="44" fillId="0" borderId="0" xfId="177" quotePrefix="1" applyNumberFormat="1" applyFont="1" applyAlignment="1">
      <alignment horizontal="right" vertical="center"/>
    </xf>
    <xf numFmtId="2" fontId="44" fillId="0" borderId="0" xfId="177" applyNumberFormat="1" applyFont="1">
      <alignment vertical="center"/>
    </xf>
    <xf numFmtId="184" fontId="10" fillId="0" borderId="0" xfId="212" applyNumberFormat="1" applyFont="1" applyAlignment="1">
      <alignment vertical="center"/>
    </xf>
    <xf numFmtId="0" fontId="42" fillId="0" borderId="0" xfId="208" applyFont="1">
      <alignment vertical="center"/>
    </xf>
    <xf numFmtId="0" fontId="47" fillId="0" borderId="0" xfId="177" applyFont="1" applyAlignment="1">
      <alignment horizontal="right" vertical="center"/>
    </xf>
    <xf numFmtId="0" fontId="47" fillId="0" borderId="0" xfId="177" applyFont="1" applyAlignment="1">
      <alignment horizontal="left" vertical="center"/>
    </xf>
    <xf numFmtId="0" fontId="41" fillId="0" borderId="0" xfId="177" quotePrefix="1" applyFont="1">
      <alignment vertical="center"/>
    </xf>
    <xf numFmtId="0" fontId="47" fillId="0" borderId="0" xfId="208" applyFont="1" applyAlignment="1">
      <alignment horizontal="right" vertical="center"/>
    </xf>
    <xf numFmtId="2" fontId="41" fillId="0" borderId="1" xfId="177" applyNumberFormat="1" applyFont="1" applyBorder="1" applyAlignment="1">
      <alignment horizontal="right" vertical="center"/>
    </xf>
    <xf numFmtId="186" fontId="10" fillId="0" borderId="0" xfId="177" applyNumberFormat="1" applyFont="1" applyAlignment="1">
      <alignment horizontal="right" vertical="center"/>
    </xf>
    <xf numFmtId="0" fontId="10" fillId="0" borderId="0" xfId="208" applyFont="1">
      <alignment vertical="center"/>
    </xf>
    <xf numFmtId="2" fontId="41" fillId="0" borderId="0" xfId="177" applyNumberFormat="1" applyFont="1">
      <alignment vertical="center"/>
    </xf>
    <xf numFmtId="3" fontId="41" fillId="0" borderId="0" xfId="177" applyNumberFormat="1" applyFont="1">
      <alignment vertical="center"/>
    </xf>
    <xf numFmtId="0" fontId="40" fillId="0" borderId="0" xfId="177" applyFont="1" applyAlignment="1" applyProtection="1">
      <alignment horizontal="right" vertical="center"/>
      <protection locked="0"/>
    </xf>
    <xf numFmtId="176" fontId="40" fillId="0" borderId="0" xfId="208" applyNumberFormat="1" applyFont="1" applyProtection="1">
      <alignment vertical="center"/>
      <protection locked="0"/>
    </xf>
    <xf numFmtId="176" fontId="40" fillId="0" borderId="0" xfId="177" quotePrefix="1" applyNumberFormat="1" applyFont="1" applyAlignment="1" applyProtection="1">
      <alignment horizontal="right" vertical="center"/>
      <protection locked="0"/>
    </xf>
    <xf numFmtId="3" fontId="40" fillId="0" borderId="0" xfId="177" applyNumberFormat="1" applyFont="1" applyAlignment="1" applyProtection="1">
      <alignment horizontal="right" vertical="center"/>
      <protection locked="0"/>
    </xf>
    <xf numFmtId="1" fontId="40" fillId="5" borderId="0" xfId="0" applyNumberFormat="1" applyFont="1" applyFill="1" applyAlignment="1" applyProtection="1">
      <alignment horizontal="center" vertical="center"/>
      <protection locked="0"/>
    </xf>
    <xf numFmtId="3" fontId="40" fillId="0" borderId="0" xfId="0" applyNumberFormat="1" applyFont="1" applyAlignment="1" applyProtection="1">
      <alignment vertical="center"/>
      <protection locked="0"/>
    </xf>
    <xf numFmtId="187" fontId="54" fillId="0" borderId="0" xfId="0" applyNumberFormat="1" applyFont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176" fontId="40" fillId="0" borderId="14" xfId="0" applyNumberFormat="1" applyFont="1" applyBorder="1" applyAlignment="1" applyProtection="1">
      <alignment vertical="center"/>
      <protection locked="0"/>
    </xf>
    <xf numFmtId="176" fontId="40" fillId="0" borderId="0" xfId="0" applyNumberFormat="1" applyFont="1" applyAlignment="1" applyProtection="1">
      <alignment vertical="center"/>
      <protection locked="0"/>
    </xf>
    <xf numFmtId="2" fontId="10" fillId="0" borderId="0" xfId="0" applyNumberFormat="1" applyFont="1" applyAlignment="1" applyProtection="1">
      <alignment vertical="center"/>
      <protection locked="0"/>
    </xf>
    <xf numFmtId="176" fontId="40" fillId="0" borderId="0" xfId="0" applyNumberFormat="1" applyFont="1" applyAlignment="1" applyProtection="1">
      <alignment horizontal="right" vertical="center"/>
      <protection locked="0"/>
    </xf>
    <xf numFmtId="176" fontId="40" fillId="0" borderId="27" xfId="0" applyNumberFormat="1" applyFont="1" applyBorder="1" applyAlignment="1" applyProtection="1">
      <alignment horizontal="right" vertical="center"/>
      <protection locked="0"/>
    </xf>
    <xf numFmtId="185" fontId="47" fillId="5" borderId="19" xfId="866" applyNumberFormat="1" applyFont="1" applyFill="1" applyBorder="1">
      <alignment vertical="center"/>
    </xf>
    <xf numFmtId="183" fontId="40" fillId="0" borderId="0" xfId="0" applyNumberFormat="1" applyFont="1" applyAlignment="1" applyProtection="1">
      <alignment vertical="center"/>
      <protection locked="0"/>
    </xf>
    <xf numFmtId="178" fontId="76" fillId="0" borderId="4" xfId="0" applyNumberFormat="1" applyFont="1" applyBorder="1" applyAlignment="1">
      <alignment horizontal="center" vertical="center"/>
    </xf>
    <xf numFmtId="187" fontId="81" fillId="0" borderId="0" xfId="0" applyNumberFormat="1" applyFont="1" applyAlignment="1" applyProtection="1">
      <alignment horizontal="left" vertical="center"/>
      <protection locked="0"/>
    </xf>
    <xf numFmtId="1" fontId="81" fillId="0" borderId="0" xfId="0" applyNumberFormat="1" applyFont="1" applyAlignment="1" applyProtection="1">
      <alignment horizontal="right" vertical="center"/>
      <protection locked="0"/>
    </xf>
    <xf numFmtId="197" fontId="81" fillId="0" borderId="0" xfId="0" applyNumberFormat="1" applyFont="1" applyAlignment="1" applyProtection="1">
      <alignment horizontal="right" vertical="center"/>
      <protection locked="0"/>
    </xf>
    <xf numFmtId="1" fontId="81" fillId="0" borderId="0" xfId="0" applyNumberFormat="1" applyFont="1" applyAlignment="1" applyProtection="1">
      <alignment horizontal="right" vertical="center" wrapText="1"/>
      <protection locked="0"/>
    </xf>
    <xf numFmtId="176" fontId="81" fillId="0" borderId="2" xfId="0" applyNumberFormat="1" applyFont="1" applyBorder="1" applyAlignment="1" applyProtection="1">
      <alignment horizontal="center" vertical="center"/>
      <protection locked="0"/>
    </xf>
    <xf numFmtId="1" fontId="40" fillId="0" borderId="1" xfId="0" applyNumberFormat="1" applyFont="1" applyBorder="1" applyAlignment="1" applyProtection="1">
      <alignment horizontal="center" vertical="center"/>
      <protection locked="0"/>
    </xf>
    <xf numFmtId="2" fontId="61" fillId="0" borderId="50" xfId="0" applyNumberFormat="1" applyFont="1" applyBorder="1" applyAlignment="1">
      <alignment horizontal="right" vertical="center" indent="1"/>
    </xf>
    <xf numFmtId="176" fontId="81" fillId="0" borderId="0" xfId="0" applyNumberFormat="1" applyFont="1" applyAlignment="1" applyProtection="1">
      <alignment vertical="center"/>
      <protection locked="0"/>
    </xf>
    <xf numFmtId="1" fontId="81" fillId="0" borderId="4" xfId="0" applyNumberFormat="1" applyFont="1" applyBorder="1" applyAlignment="1" applyProtection="1">
      <alignment vertical="center"/>
      <protection locked="0"/>
    </xf>
    <xf numFmtId="1" fontId="81" fillId="0" borderId="4" xfId="0" applyNumberFormat="1" applyFont="1" applyBorder="1" applyAlignment="1" applyProtection="1">
      <alignment horizontal="right" vertical="center"/>
      <protection locked="0"/>
    </xf>
    <xf numFmtId="176" fontId="81" fillId="0" borderId="4" xfId="0" applyNumberFormat="1" applyFont="1" applyBorder="1" applyAlignment="1" applyProtection="1">
      <alignment horizontal="right" vertical="center"/>
      <protection locked="0"/>
    </xf>
    <xf numFmtId="193" fontId="76" fillId="0" borderId="0" xfId="0" applyNumberFormat="1" applyFont="1" applyAlignment="1">
      <alignment horizontal="center" vertical="center"/>
    </xf>
    <xf numFmtId="201" fontId="76" fillId="0" borderId="0" xfId="0" applyNumberFormat="1" applyFont="1" applyAlignment="1">
      <alignment horizontal="right" vertical="center"/>
    </xf>
    <xf numFmtId="203" fontId="76" fillId="0" borderId="0" xfId="0" applyNumberFormat="1" applyFont="1" applyAlignment="1">
      <alignment vertical="center"/>
    </xf>
    <xf numFmtId="204" fontId="76" fillId="0" borderId="0" xfId="0" applyNumberFormat="1" applyFont="1" applyAlignment="1">
      <alignment vertical="center"/>
    </xf>
    <xf numFmtId="192" fontId="76" fillId="0" borderId="0" xfId="0" applyNumberFormat="1" applyFont="1" applyAlignment="1">
      <alignment horizontal="right" vertical="center"/>
    </xf>
    <xf numFmtId="2" fontId="81" fillId="0" borderId="0" xfId="0" applyNumberFormat="1" applyFont="1" applyAlignment="1" applyProtection="1">
      <alignment horizontal="right" vertical="center"/>
      <protection locked="0"/>
    </xf>
    <xf numFmtId="1" fontId="81" fillId="0" borderId="1" xfId="0" applyNumberFormat="1" applyFont="1" applyBorder="1" applyAlignment="1" applyProtection="1">
      <alignment horizontal="right" vertical="center"/>
      <protection locked="0"/>
    </xf>
    <xf numFmtId="2" fontId="76" fillId="0" borderId="61" xfId="0" applyNumberFormat="1" applyFont="1" applyBorder="1" applyAlignment="1">
      <alignment vertical="center"/>
    </xf>
    <xf numFmtId="2" fontId="76" fillId="0" borderId="63" xfId="0" applyNumberFormat="1" applyFont="1" applyBorder="1" applyAlignment="1">
      <alignment vertical="center"/>
    </xf>
    <xf numFmtId="1" fontId="81" fillId="0" borderId="66" xfId="0" applyNumberFormat="1" applyFont="1" applyBorder="1" applyAlignment="1" applyProtection="1">
      <alignment vertical="center"/>
      <protection locked="0"/>
    </xf>
    <xf numFmtId="2" fontId="76" fillId="0" borderId="64" xfId="0" applyNumberFormat="1" applyFont="1" applyBorder="1" applyAlignment="1">
      <alignment vertical="center"/>
    </xf>
    <xf numFmtId="1" fontId="61" fillId="0" borderId="62" xfId="0" applyNumberFormat="1" applyFont="1" applyBorder="1" applyAlignment="1">
      <alignment vertical="center"/>
    </xf>
    <xf numFmtId="0" fontId="76" fillId="0" borderId="61" xfId="0" applyFont="1" applyBorder="1" applyAlignment="1">
      <alignment vertical="center"/>
    </xf>
    <xf numFmtId="0" fontId="76" fillId="0" borderId="63" xfId="0" applyFont="1" applyBorder="1" applyAlignment="1">
      <alignment vertical="center"/>
    </xf>
    <xf numFmtId="0" fontId="76" fillId="0" borderId="64" xfId="0" applyFont="1" applyBorder="1" applyAlignment="1">
      <alignment vertical="center"/>
    </xf>
    <xf numFmtId="0" fontId="39" fillId="0" borderId="0" xfId="861">
      <alignment vertical="center"/>
    </xf>
    <xf numFmtId="0" fontId="76" fillId="0" borderId="23" xfId="0" applyFont="1" applyBorder="1" applyAlignment="1">
      <alignment horizontal="center" vertical="center"/>
    </xf>
    <xf numFmtId="177" fontId="76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62" fillId="0" borderId="0" xfId="0" applyFont="1" applyAlignment="1">
      <alignment vertical="center"/>
    </xf>
    <xf numFmtId="0" fontId="45" fillId="0" borderId="1" xfId="900" applyFont="1" applyBorder="1" applyAlignment="1">
      <alignment horizontal="center" vertical="center"/>
    </xf>
    <xf numFmtId="0" fontId="45" fillId="0" borderId="4" xfId="900" applyFont="1" applyBorder="1" applyAlignment="1">
      <alignment horizontal="center" vertical="center"/>
    </xf>
    <xf numFmtId="191" fontId="61" fillId="0" borderId="1" xfId="900" applyNumberFormat="1" applyFont="1" applyBorder="1" applyAlignment="1">
      <alignment horizontal="right" vertical="center"/>
    </xf>
    <xf numFmtId="191" fontId="61" fillId="0" borderId="4" xfId="900" applyNumberFormat="1" applyFont="1" applyBorder="1" applyAlignment="1">
      <alignment horizontal="right" vertical="center"/>
    </xf>
    <xf numFmtId="191" fontId="61" fillId="0" borderId="2" xfId="900" applyNumberFormat="1" applyFont="1" applyBorder="1" applyAlignment="1">
      <alignment vertical="center"/>
    </xf>
    <xf numFmtId="1" fontId="61" fillId="0" borderId="2" xfId="0" applyNumberFormat="1" applyFont="1" applyBorder="1" applyAlignment="1">
      <alignment horizontal="left" vertical="center"/>
    </xf>
    <xf numFmtId="191" fontId="96" fillId="0" borderId="21" xfId="900" applyNumberFormat="1" applyFont="1" applyBorder="1" applyAlignment="1">
      <alignment horizontal="center" vertical="center"/>
    </xf>
    <xf numFmtId="191" fontId="96" fillId="0" borderId="25" xfId="900" applyNumberFormat="1" applyFont="1" applyBorder="1" applyAlignment="1">
      <alignment horizontal="left" vertical="center"/>
    </xf>
    <xf numFmtId="191" fontId="61" fillId="0" borderId="4" xfId="900" applyNumberFormat="1" applyFont="1" applyBorder="1" applyAlignment="1">
      <alignment horizontal="left" vertical="center"/>
    </xf>
    <xf numFmtId="191" fontId="62" fillId="0" borderId="2" xfId="900" applyNumberFormat="1" applyFont="1" applyBorder="1" applyAlignment="1">
      <alignment horizontal="center" vertical="center"/>
    </xf>
    <xf numFmtId="2" fontId="61" fillId="0" borderId="0" xfId="0" applyNumberFormat="1" applyFont="1" applyAlignment="1">
      <alignment horizontal="right" vertical="center"/>
    </xf>
    <xf numFmtId="176" fontId="81" fillId="0" borderId="62" xfId="0" applyNumberFormat="1" applyFont="1" applyBorder="1" applyAlignment="1" applyProtection="1">
      <alignment horizontal="right" vertical="center"/>
      <protection locked="0"/>
    </xf>
    <xf numFmtId="176" fontId="81" fillId="0" borderId="1" xfId="0" applyNumberFormat="1" applyFont="1" applyBorder="1" applyAlignment="1" applyProtection="1">
      <alignment vertical="center"/>
      <protection locked="0"/>
    </xf>
    <xf numFmtId="176" fontId="81" fillId="0" borderId="66" xfId="0" applyNumberFormat="1" applyFont="1" applyBorder="1" applyAlignment="1" applyProtection="1">
      <alignment vertical="center"/>
      <protection locked="0"/>
    </xf>
    <xf numFmtId="2" fontId="47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86" fontId="10" fillId="0" borderId="7" xfId="0" applyNumberFormat="1" applyFont="1" applyBorder="1" applyAlignment="1">
      <alignment horizontal="right" vertical="center"/>
    </xf>
    <xf numFmtId="176" fontId="81" fillId="0" borderId="1" xfId="0" applyNumberFormat="1" applyFont="1" applyBorder="1" applyAlignment="1" applyProtection="1">
      <alignment horizontal="right" vertical="center"/>
      <protection locked="0"/>
    </xf>
    <xf numFmtId="0" fontId="123" fillId="0" borderId="37" xfId="0" applyFont="1" applyBorder="1" applyAlignment="1">
      <alignment horizontal="center" vertical="center"/>
    </xf>
    <xf numFmtId="0" fontId="123" fillId="0" borderId="39" xfId="0" applyFont="1" applyBorder="1" applyAlignment="1">
      <alignment horizontal="center" vertical="center"/>
    </xf>
    <xf numFmtId="0" fontId="123" fillId="0" borderId="38" xfId="0" applyFont="1" applyBorder="1" applyAlignment="1">
      <alignment horizontal="center" vertical="center"/>
    </xf>
    <xf numFmtId="176" fontId="61" fillId="0" borderId="1" xfId="0" applyNumberFormat="1" applyFont="1" applyBorder="1" applyAlignment="1">
      <alignment vertical="center"/>
    </xf>
    <xf numFmtId="176" fontId="81" fillId="0" borderId="66" xfId="0" applyNumberFormat="1" applyFont="1" applyBorder="1" applyAlignment="1" applyProtection="1">
      <alignment horizontal="right" vertical="center"/>
      <protection locked="0"/>
    </xf>
    <xf numFmtId="176" fontId="76" fillId="0" borderId="37" xfId="0" applyNumberFormat="1" applyFont="1" applyBorder="1" applyAlignment="1">
      <alignment horizontal="right" vertical="center" indent="1"/>
    </xf>
    <xf numFmtId="176" fontId="76" fillId="0" borderId="39" xfId="0" applyNumberFormat="1" applyFont="1" applyBorder="1" applyAlignment="1">
      <alignment horizontal="right" vertical="center" indent="1"/>
    </xf>
    <xf numFmtId="176" fontId="76" fillId="0" borderId="38" xfId="0" applyNumberFormat="1" applyFont="1" applyBorder="1" applyAlignment="1">
      <alignment horizontal="right" vertical="center" indent="1"/>
    </xf>
    <xf numFmtId="176" fontId="76" fillId="0" borderId="0" xfId="0" applyNumberFormat="1" applyFont="1" applyAlignment="1">
      <alignment horizontal="right" vertical="center" indent="1"/>
    </xf>
    <xf numFmtId="176" fontId="81" fillId="0" borderId="62" xfId="0" applyNumberFormat="1" applyFont="1" applyBorder="1" applyAlignment="1" applyProtection="1">
      <alignment vertical="center"/>
      <protection locked="0"/>
    </xf>
    <xf numFmtId="0" fontId="127" fillId="0" borderId="0" xfId="177" applyFont="1">
      <alignment vertical="center"/>
    </xf>
    <xf numFmtId="0" fontId="41" fillId="0" borderId="0" xfId="208" applyFont="1" applyAlignment="1">
      <alignment horizontal="center" vertical="center"/>
    </xf>
    <xf numFmtId="0" fontId="41" fillId="0" borderId="25" xfId="177" applyFont="1" applyBorder="1" applyAlignment="1">
      <alignment horizontal="center" vertical="center"/>
    </xf>
    <xf numFmtId="0" fontId="41" fillId="0" borderId="10" xfId="208" applyFont="1" applyBorder="1" applyAlignment="1">
      <alignment horizontal="center" vertical="center"/>
    </xf>
    <xf numFmtId="0" fontId="41" fillId="0" borderId="8" xfId="208" applyFont="1" applyBorder="1" applyAlignment="1">
      <alignment horizontal="center" vertical="center"/>
    </xf>
    <xf numFmtId="2" fontId="41" fillId="0" borderId="9" xfId="177" applyNumberFormat="1" applyFont="1" applyBorder="1" applyAlignment="1">
      <alignment horizontal="center" vertical="center"/>
    </xf>
    <xf numFmtId="0" fontId="41" fillId="0" borderId="1" xfId="177" applyFont="1" applyBorder="1" applyAlignment="1">
      <alignment horizontal="center" vertical="center"/>
    </xf>
    <xf numFmtId="2" fontId="41" fillId="0" borderId="1" xfId="177" applyNumberFormat="1" applyFont="1" applyBorder="1" applyAlignment="1">
      <alignment horizontal="center" vertical="center"/>
    </xf>
    <xf numFmtId="0" fontId="41" fillId="6" borderId="8" xfId="208" applyFont="1" applyFill="1" applyBorder="1" applyAlignment="1">
      <alignment horizontal="center" vertical="center"/>
    </xf>
    <xf numFmtId="0" fontId="41" fillId="6" borderId="29" xfId="208" applyFont="1" applyFill="1" applyBorder="1" applyAlignment="1">
      <alignment horizontal="center" vertical="center"/>
    </xf>
    <xf numFmtId="0" fontId="14" fillId="6" borderId="1" xfId="208" applyFont="1" applyFill="1" applyBorder="1" applyAlignment="1">
      <alignment horizontal="center" vertical="center"/>
    </xf>
    <xf numFmtId="0" fontId="14" fillId="6" borderId="30" xfId="208" applyFont="1" applyFill="1" applyBorder="1" applyAlignment="1">
      <alignment horizontal="center" vertical="center"/>
    </xf>
    <xf numFmtId="0" fontId="46" fillId="6" borderId="1" xfId="208" applyFont="1" applyFill="1" applyBorder="1" applyAlignment="1">
      <alignment horizontal="center" vertical="center"/>
    </xf>
    <xf numFmtId="0" fontId="46" fillId="6" borderId="30" xfId="208" applyFont="1" applyFill="1" applyBorder="1" applyAlignment="1">
      <alignment horizontal="center" vertical="center"/>
    </xf>
    <xf numFmtId="0" fontId="46" fillId="6" borderId="4" xfId="208" applyFont="1" applyFill="1" applyBorder="1" applyAlignment="1">
      <alignment horizontal="center" vertical="center"/>
    </xf>
    <xf numFmtId="0" fontId="41" fillId="0" borderId="33" xfId="208" applyFont="1" applyBorder="1" applyAlignment="1">
      <alignment horizontal="center" vertical="center"/>
    </xf>
    <xf numFmtId="2" fontId="41" fillId="0" borderId="34" xfId="177" applyNumberFormat="1" applyFont="1" applyBorder="1" applyAlignment="1">
      <alignment horizontal="center" vertical="center"/>
    </xf>
    <xf numFmtId="2" fontId="41" fillId="0" borderId="22" xfId="177" applyNumberFormat="1" applyFont="1" applyBorder="1" applyAlignment="1">
      <alignment horizontal="center" vertical="center"/>
    </xf>
    <xf numFmtId="2" fontId="41" fillId="0" borderId="7" xfId="177" applyNumberFormat="1" applyFont="1" applyBorder="1" applyAlignment="1">
      <alignment horizontal="center" vertical="center"/>
    </xf>
    <xf numFmtId="0" fontId="41" fillId="6" borderId="11" xfId="208" applyFont="1" applyFill="1" applyBorder="1" applyAlignment="1">
      <alignment horizontal="center" vertical="center"/>
    </xf>
    <xf numFmtId="0" fontId="14" fillId="6" borderId="7" xfId="208" applyFont="1" applyFill="1" applyBorder="1" applyAlignment="1">
      <alignment horizontal="center" vertical="center"/>
    </xf>
    <xf numFmtId="0" fontId="14" fillId="6" borderId="32" xfId="208" applyFont="1" applyFill="1" applyBorder="1" applyAlignment="1">
      <alignment horizontal="center" vertical="center"/>
    </xf>
    <xf numFmtId="0" fontId="46" fillId="6" borderId="8" xfId="208" applyFont="1" applyFill="1" applyBorder="1" applyAlignment="1">
      <alignment horizontal="center" vertical="center"/>
    </xf>
    <xf numFmtId="0" fontId="46" fillId="6" borderId="7" xfId="208" applyFont="1" applyFill="1" applyBorder="1" applyAlignment="1">
      <alignment horizontal="center" vertical="center"/>
    </xf>
    <xf numFmtId="0" fontId="46" fillId="6" borderId="32" xfId="208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49" fontId="11" fillId="0" borderId="0" xfId="212" applyNumberFormat="1" applyFont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Alignment="1">
      <alignment horizontal="left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117" fillId="0" borderId="14" xfId="208" applyFont="1" applyBorder="1" applyAlignment="1">
      <alignment horizontal="center" vertical="center"/>
    </xf>
    <xf numFmtId="0" fontId="117" fillId="0" borderId="0" xfId="208" applyFont="1" applyAlignment="1">
      <alignment horizontal="center" vertical="center"/>
    </xf>
    <xf numFmtId="18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76" fillId="6" borderId="8" xfId="0" applyNumberFormat="1" applyFont="1" applyFill="1" applyBorder="1" applyAlignment="1">
      <alignment horizontal="center" vertical="center"/>
    </xf>
    <xf numFmtId="176" fontId="76" fillId="6" borderId="4" xfId="0" applyNumberFormat="1" applyFont="1" applyFill="1" applyBorder="1" applyAlignment="1">
      <alignment horizontal="center" vertical="center"/>
    </xf>
    <xf numFmtId="2" fontId="76" fillId="6" borderId="2" xfId="0" applyNumberFormat="1" applyFont="1" applyFill="1" applyBorder="1" applyAlignment="1">
      <alignment horizontal="center" vertical="center"/>
    </xf>
    <xf numFmtId="2" fontId="76" fillId="6" borderId="8" xfId="0" applyNumberFormat="1" applyFont="1" applyFill="1" applyBorder="1" applyAlignment="1">
      <alignment horizontal="center" vertical="center"/>
    </xf>
    <xf numFmtId="2" fontId="76" fillId="6" borderId="1" xfId="0" applyNumberFormat="1" applyFont="1" applyFill="1" applyBorder="1" applyAlignment="1">
      <alignment horizontal="center" vertical="center"/>
    </xf>
    <xf numFmtId="2" fontId="76" fillId="6" borderId="4" xfId="0" applyNumberFormat="1" applyFont="1" applyFill="1" applyBorder="1" applyAlignment="1">
      <alignment horizontal="center" vertical="center"/>
    </xf>
    <xf numFmtId="176" fontId="76" fillId="6" borderId="50" xfId="0" applyNumberFormat="1" applyFont="1" applyFill="1" applyBorder="1" applyAlignment="1">
      <alignment horizontal="center" vertical="center"/>
    </xf>
    <xf numFmtId="176" fontId="76" fillId="6" borderId="2" xfId="0" applyNumberFormat="1" applyFont="1" applyFill="1" applyBorder="1" applyAlignment="1">
      <alignment horizontal="center" vertical="center"/>
    </xf>
    <xf numFmtId="0" fontId="76" fillId="0" borderId="3" xfId="0" applyFont="1" applyBorder="1" applyAlignment="1">
      <alignment horizontal="center" vertical="center"/>
    </xf>
    <xf numFmtId="0" fontId="76" fillId="0" borderId="5" xfId="0" applyFont="1" applyBorder="1" applyAlignment="1">
      <alignment horizontal="center" vertical="center"/>
    </xf>
    <xf numFmtId="0" fontId="76" fillId="0" borderId="11" xfId="0" applyFont="1" applyBorder="1" applyAlignment="1">
      <alignment horizontal="center" vertical="center"/>
    </xf>
    <xf numFmtId="2" fontId="76" fillId="0" borderId="8" xfId="0" applyNumberFormat="1" applyFont="1" applyBorder="1" applyAlignment="1">
      <alignment horizontal="center" vertical="center"/>
    </xf>
    <xf numFmtId="2" fontId="76" fillId="0" borderId="4" xfId="0" applyNumberFormat="1" applyFont="1" applyBorder="1" applyAlignment="1">
      <alignment horizontal="center" vertical="center"/>
    </xf>
    <xf numFmtId="176" fontId="83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4" xfId="0" applyFont="1" applyBorder="1" applyAlignment="1">
      <alignment horizontal="center" vertical="center"/>
    </xf>
    <xf numFmtId="0" fontId="76" fillId="0" borderId="8" xfId="0" applyFont="1" applyBorder="1" applyAlignment="1">
      <alignment horizontal="center" vertical="center"/>
    </xf>
    <xf numFmtId="176" fontId="76" fillId="6" borderId="11" xfId="0" applyNumberFormat="1" applyFont="1" applyFill="1" applyBorder="1" applyAlignment="1">
      <alignment horizontal="left" vertical="center"/>
    </xf>
    <xf numFmtId="176" fontId="76" fillId="6" borderId="12" xfId="0" applyNumberFormat="1" applyFont="1" applyFill="1" applyBorder="1" applyAlignment="1">
      <alignment horizontal="left" vertical="center"/>
    </xf>
    <xf numFmtId="176" fontId="76" fillId="6" borderId="10" xfId="0" applyNumberFormat="1" applyFont="1" applyFill="1" applyBorder="1" applyAlignment="1">
      <alignment horizontal="left" vertical="center"/>
    </xf>
    <xf numFmtId="176" fontId="76" fillId="0" borderId="4" xfId="0" applyNumberFormat="1" applyFont="1" applyBorder="1" applyAlignment="1">
      <alignment horizontal="center" vertical="center"/>
    </xf>
    <xf numFmtId="176" fontId="76" fillId="0" borderId="2" xfId="0" applyNumberFormat="1" applyFont="1" applyBorder="1" applyAlignment="1">
      <alignment horizontal="center" vertical="center"/>
    </xf>
    <xf numFmtId="176" fontId="118" fillId="0" borderId="0" xfId="0" applyNumberFormat="1" applyFont="1" applyAlignment="1">
      <alignment horizontal="center" vertical="center"/>
    </xf>
    <xf numFmtId="2" fontId="83" fillId="0" borderId="0" xfId="0" applyNumberFormat="1" applyFont="1" applyAlignment="1">
      <alignment horizontal="left" vertical="center"/>
    </xf>
    <xf numFmtId="2" fontId="76" fillId="0" borderId="0" xfId="0" applyNumberFormat="1" applyFont="1" applyAlignment="1">
      <alignment horizontal="center" vertical="center"/>
    </xf>
    <xf numFmtId="2" fontId="7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10" fillId="0" borderId="13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6" fillId="0" borderId="2" xfId="0" applyNumberFormat="1" applyFont="1" applyBorder="1" applyAlignment="1">
      <alignment horizontal="center" vertical="center"/>
    </xf>
    <xf numFmtId="176" fontId="87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 vertical="center" wrapText="1"/>
    </xf>
    <xf numFmtId="0" fontId="76" fillId="0" borderId="25" xfId="0" applyFont="1" applyBorder="1" applyAlignment="1">
      <alignment horizontal="center" vertical="center" wrapText="1"/>
    </xf>
    <xf numFmtId="176" fontId="87" fillId="0" borderId="0" xfId="0" applyNumberFormat="1" applyFont="1" applyAlignment="1">
      <alignment horizontal="left" vertical="center"/>
    </xf>
    <xf numFmtId="2" fontId="113" fillId="0" borderId="4" xfId="0" applyNumberFormat="1" applyFont="1" applyBorder="1" applyAlignment="1">
      <alignment horizontal="center" vertical="center"/>
    </xf>
    <xf numFmtId="2" fontId="113" fillId="0" borderId="8" xfId="0" applyNumberFormat="1" applyFont="1" applyBorder="1" applyAlignment="1">
      <alignment horizontal="center" vertical="center"/>
    </xf>
    <xf numFmtId="191" fontId="76" fillId="0" borderId="23" xfId="900" applyNumberFormat="1" applyFont="1" applyBorder="1" applyAlignment="1">
      <alignment horizontal="center" vertical="center"/>
    </xf>
    <xf numFmtId="191" fontId="76" fillId="0" borderId="24" xfId="900" applyNumberFormat="1" applyFont="1" applyBorder="1" applyAlignment="1">
      <alignment horizontal="center" vertical="center"/>
    </xf>
    <xf numFmtId="0" fontId="76" fillId="6" borderId="2" xfId="0" applyFont="1" applyFill="1" applyBorder="1" applyAlignment="1">
      <alignment horizontal="center" vertical="center"/>
    </xf>
    <xf numFmtId="0" fontId="76" fillId="6" borderId="8" xfId="0" applyFont="1" applyFill="1" applyBorder="1" applyAlignment="1">
      <alignment horizontal="center" vertical="center"/>
    </xf>
    <xf numFmtId="2" fontId="76" fillId="0" borderId="60" xfId="0" applyNumberFormat="1" applyFont="1" applyBorder="1" applyAlignment="1">
      <alignment horizontal="center" vertical="center" wrapText="1"/>
    </xf>
    <xf numFmtId="2" fontId="76" fillId="0" borderId="40" xfId="0" applyNumberFormat="1" applyFont="1" applyBorder="1" applyAlignment="1">
      <alignment horizontal="center" vertical="center" wrapText="1"/>
    </xf>
    <xf numFmtId="2" fontId="76" fillId="0" borderId="65" xfId="0" applyNumberFormat="1" applyFont="1" applyBorder="1" applyAlignment="1">
      <alignment horizontal="center" vertical="center" wrapText="1"/>
    </xf>
    <xf numFmtId="2" fontId="76" fillId="0" borderId="62" xfId="0" applyNumberFormat="1" applyFont="1" applyBorder="1" applyAlignment="1">
      <alignment vertical="center"/>
    </xf>
    <xf numFmtId="2" fontId="76" fillId="0" borderId="1" xfId="0" applyNumberFormat="1" applyFont="1" applyBorder="1" applyAlignment="1">
      <alignment vertical="center"/>
    </xf>
    <xf numFmtId="2" fontId="76" fillId="0" borderId="66" xfId="0" applyNumberFormat="1" applyFont="1" applyBorder="1" applyAlignment="1">
      <alignment vertical="center"/>
    </xf>
    <xf numFmtId="191" fontId="76" fillId="0" borderId="47" xfId="900" applyNumberFormat="1" applyFont="1" applyBorder="1" applyAlignment="1">
      <alignment horizontal="center" vertical="center"/>
    </xf>
    <xf numFmtId="191" fontId="61" fillId="0" borderId="23" xfId="900" applyNumberFormat="1" applyFont="1" applyBorder="1" applyAlignment="1">
      <alignment horizontal="center" vertical="center"/>
    </xf>
    <xf numFmtId="191" fontId="61" fillId="0" borderId="24" xfId="900" applyNumberFormat="1" applyFont="1" applyBorder="1" applyAlignment="1">
      <alignment horizontal="center" vertical="center"/>
    </xf>
    <xf numFmtId="191" fontId="76" fillId="0" borderId="54" xfId="900" applyNumberFormat="1" applyFont="1" applyBorder="1" applyAlignment="1">
      <alignment horizontal="center" vertical="center"/>
    </xf>
    <xf numFmtId="191" fontId="76" fillId="0" borderId="55" xfId="900" applyNumberFormat="1" applyFont="1" applyBorder="1" applyAlignment="1">
      <alignment horizontal="center" vertical="center"/>
    </xf>
    <xf numFmtId="191" fontId="76" fillId="0" borderId="23" xfId="900" applyNumberFormat="1" applyFont="1" applyBorder="1" applyAlignment="1">
      <alignment horizontal="center" vertical="center" wrapText="1"/>
    </xf>
    <xf numFmtId="191" fontId="76" fillId="0" borderId="24" xfId="900" applyNumberFormat="1" applyFont="1" applyBorder="1" applyAlignment="1">
      <alignment horizontal="center" vertical="center" wrapText="1"/>
    </xf>
    <xf numFmtId="201" fontId="76" fillId="0" borderId="62" xfId="0" applyNumberFormat="1" applyFont="1" applyBorder="1" applyAlignment="1">
      <alignment vertical="center"/>
    </xf>
    <xf numFmtId="203" fontId="76" fillId="0" borderId="1" xfId="0" applyNumberFormat="1" applyFont="1" applyBorder="1" applyAlignment="1">
      <alignment vertical="center"/>
    </xf>
    <xf numFmtId="204" fontId="76" fillId="0" borderId="66" xfId="0" applyNumberFormat="1" applyFont="1" applyBorder="1" applyAlignment="1">
      <alignment vertical="center"/>
    </xf>
    <xf numFmtId="176" fontId="76" fillId="0" borderId="60" xfId="0" applyNumberFormat="1" applyFont="1" applyBorder="1" applyAlignment="1">
      <alignment horizontal="center" vertical="center" wrapText="1"/>
    </xf>
    <xf numFmtId="176" fontId="76" fillId="0" borderId="65" xfId="0" applyNumberFormat="1" applyFont="1" applyBorder="1" applyAlignment="1">
      <alignment horizontal="center" vertical="center"/>
    </xf>
    <xf numFmtId="191" fontId="87" fillId="0" borderId="47" xfId="900" applyNumberFormat="1" applyFont="1" applyBorder="1" applyAlignment="1">
      <alignment horizontal="left" vertical="center"/>
    </xf>
    <xf numFmtId="191" fontId="87" fillId="0" borderId="43" xfId="900" applyNumberFormat="1" applyFont="1" applyBorder="1" applyAlignment="1">
      <alignment horizontal="left" vertical="center"/>
    </xf>
    <xf numFmtId="191" fontId="87" fillId="0" borderId="44" xfId="900" applyNumberFormat="1" applyFont="1" applyBorder="1" applyAlignment="1">
      <alignment horizontal="left" vertical="center"/>
    </xf>
    <xf numFmtId="191" fontId="87" fillId="0" borderId="45" xfId="900" applyNumberFormat="1" applyFont="1" applyBorder="1" applyAlignment="1">
      <alignment horizontal="left" vertical="center"/>
    </xf>
    <xf numFmtId="191" fontId="87" fillId="0" borderId="0" xfId="900" quotePrefix="1" applyNumberFormat="1" applyFont="1" applyAlignment="1">
      <alignment horizontal="left" vertical="center"/>
    </xf>
    <xf numFmtId="2" fontId="76" fillId="0" borderId="16" xfId="0" applyNumberFormat="1" applyFont="1" applyBorder="1" applyAlignment="1">
      <alignment horizontal="center" vertical="center"/>
    </xf>
    <xf numFmtId="186" fontId="76" fillId="0" borderId="62" xfId="0" applyNumberFormat="1" applyFont="1" applyBorder="1" applyAlignment="1">
      <alignment horizontal="left" vertical="center"/>
    </xf>
    <xf numFmtId="186" fontId="76" fillId="0" borderId="66" xfId="0" applyNumberFormat="1" applyFont="1" applyBorder="1" applyAlignment="1">
      <alignment horizontal="left" vertical="center"/>
    </xf>
  </cellXfs>
  <cellStyles count="902">
    <cellStyle name="백분율" xfId="866" builtinId="5"/>
    <cellStyle name="백분율 2" xfId="867" xr:uid="{00000000-0005-0000-0000-000001000000}"/>
    <cellStyle name="쉼표 [0]" xfId="901" builtinId="6"/>
    <cellStyle name="쉼표 [0] 2" xfId="868" xr:uid="{00000000-0005-0000-0000-000002000000}"/>
    <cellStyle name="콤마 [0]_CAST-IN CHANNEL(fc210-상단)" xfId="1" xr:uid="{00000000-0005-0000-0000-000003000000}"/>
    <cellStyle name="콤마_CAST-IN CHANNEL(fc210-상단)" xfId="2" xr:uid="{00000000-0005-0000-0000-000004000000}"/>
    <cellStyle name="표준" xfId="0" builtinId="0"/>
    <cellStyle name="표준 10" xfId="3" xr:uid="{00000000-0005-0000-0000-000006000000}"/>
    <cellStyle name="표준 10 2" xfId="4" xr:uid="{00000000-0005-0000-0000-000007000000}"/>
    <cellStyle name="표준 10 2 2" xfId="5" xr:uid="{00000000-0005-0000-0000-000008000000}"/>
    <cellStyle name="표준 10 2 2 2" xfId="6" xr:uid="{00000000-0005-0000-0000-000009000000}"/>
    <cellStyle name="표준 10 2 2 2 2" xfId="7" xr:uid="{00000000-0005-0000-0000-00000A000000}"/>
    <cellStyle name="표준 10 2 2 2 2 2" xfId="8" xr:uid="{00000000-0005-0000-0000-00000B000000}"/>
    <cellStyle name="표준 10 2 2 2 3" xfId="9" xr:uid="{00000000-0005-0000-0000-00000C000000}"/>
    <cellStyle name="표준 10 2 2 3" xfId="10" xr:uid="{00000000-0005-0000-0000-00000D000000}"/>
    <cellStyle name="표준 10 2 2 3 2" xfId="11" xr:uid="{00000000-0005-0000-0000-00000E000000}"/>
    <cellStyle name="표준 10 2 2 4" xfId="12" xr:uid="{00000000-0005-0000-0000-00000F000000}"/>
    <cellStyle name="표준 10 2 3" xfId="13" xr:uid="{00000000-0005-0000-0000-000010000000}"/>
    <cellStyle name="표준 10 2 3 2" xfId="14" xr:uid="{00000000-0005-0000-0000-000011000000}"/>
    <cellStyle name="표준 10 2 3 2 2" xfId="15" xr:uid="{00000000-0005-0000-0000-000012000000}"/>
    <cellStyle name="표준 10 2 3 3" xfId="16" xr:uid="{00000000-0005-0000-0000-000013000000}"/>
    <cellStyle name="표준 10 2 4" xfId="17" xr:uid="{00000000-0005-0000-0000-000014000000}"/>
    <cellStyle name="표준 10 2 4 2" xfId="18" xr:uid="{00000000-0005-0000-0000-000015000000}"/>
    <cellStyle name="표준 10 2 5" xfId="19" xr:uid="{00000000-0005-0000-0000-000016000000}"/>
    <cellStyle name="표준 10 3" xfId="20" xr:uid="{00000000-0005-0000-0000-000017000000}"/>
    <cellStyle name="표준 10 3 2" xfId="21" xr:uid="{00000000-0005-0000-0000-000018000000}"/>
    <cellStyle name="표준 10 3 2 2" xfId="22" xr:uid="{00000000-0005-0000-0000-000019000000}"/>
    <cellStyle name="표준 10 3 2 2 2" xfId="23" xr:uid="{00000000-0005-0000-0000-00001A000000}"/>
    <cellStyle name="표준 10 3 2 3" xfId="24" xr:uid="{00000000-0005-0000-0000-00001B000000}"/>
    <cellStyle name="표준 10 3 3" xfId="25" xr:uid="{00000000-0005-0000-0000-00001C000000}"/>
    <cellStyle name="표준 10 3 3 2" xfId="26" xr:uid="{00000000-0005-0000-0000-00001D000000}"/>
    <cellStyle name="표준 10 3 4" xfId="27" xr:uid="{00000000-0005-0000-0000-00001E000000}"/>
    <cellStyle name="표준 10 4" xfId="28" xr:uid="{00000000-0005-0000-0000-00001F000000}"/>
    <cellStyle name="표준 10 4 2" xfId="29" xr:uid="{00000000-0005-0000-0000-000020000000}"/>
    <cellStyle name="표준 10 4 2 2" xfId="30" xr:uid="{00000000-0005-0000-0000-000021000000}"/>
    <cellStyle name="표준 10 4 3" xfId="31" xr:uid="{00000000-0005-0000-0000-000022000000}"/>
    <cellStyle name="표준 10 5" xfId="32" xr:uid="{00000000-0005-0000-0000-000023000000}"/>
    <cellStyle name="표준 10 5 2" xfId="33" xr:uid="{00000000-0005-0000-0000-000024000000}"/>
    <cellStyle name="표준 10 6" xfId="34" xr:uid="{00000000-0005-0000-0000-000025000000}"/>
    <cellStyle name="표준 11" xfId="35" xr:uid="{00000000-0005-0000-0000-000026000000}"/>
    <cellStyle name="표준 11 2" xfId="36" xr:uid="{00000000-0005-0000-0000-000027000000}"/>
    <cellStyle name="표준 11 3" xfId="37" xr:uid="{00000000-0005-0000-0000-000028000000}"/>
    <cellStyle name="표준 11 3 2" xfId="38" xr:uid="{00000000-0005-0000-0000-000029000000}"/>
    <cellStyle name="표준 11 3 2 2" xfId="39" xr:uid="{00000000-0005-0000-0000-00002A000000}"/>
    <cellStyle name="표준 11 3 2 2 2" xfId="40" xr:uid="{00000000-0005-0000-0000-00002B000000}"/>
    <cellStyle name="표준 11 3 2 2 2 2" xfId="41" xr:uid="{00000000-0005-0000-0000-00002C000000}"/>
    <cellStyle name="표준 11 3 2 2 3" xfId="42" xr:uid="{00000000-0005-0000-0000-00002D000000}"/>
    <cellStyle name="표준 11 3 2 3" xfId="43" xr:uid="{00000000-0005-0000-0000-00002E000000}"/>
    <cellStyle name="표준 11 3 2 3 2" xfId="44" xr:uid="{00000000-0005-0000-0000-00002F000000}"/>
    <cellStyle name="표준 11 3 2 4" xfId="45" xr:uid="{00000000-0005-0000-0000-000030000000}"/>
    <cellStyle name="표준 11 3 3" xfId="46" xr:uid="{00000000-0005-0000-0000-000031000000}"/>
    <cellStyle name="표준 11 3 3 2" xfId="47" xr:uid="{00000000-0005-0000-0000-000032000000}"/>
    <cellStyle name="표준 11 3 3 2 2" xfId="48" xr:uid="{00000000-0005-0000-0000-000033000000}"/>
    <cellStyle name="표준 11 3 3 3" xfId="49" xr:uid="{00000000-0005-0000-0000-000034000000}"/>
    <cellStyle name="표준 11 3 4" xfId="50" xr:uid="{00000000-0005-0000-0000-000035000000}"/>
    <cellStyle name="표준 11 3 4 2" xfId="51" xr:uid="{00000000-0005-0000-0000-000036000000}"/>
    <cellStyle name="표준 11 3 5" xfId="52" xr:uid="{00000000-0005-0000-0000-000037000000}"/>
    <cellStyle name="표준 11 4" xfId="53" xr:uid="{00000000-0005-0000-0000-000038000000}"/>
    <cellStyle name="표준 11 4 2" xfId="54" xr:uid="{00000000-0005-0000-0000-000039000000}"/>
    <cellStyle name="표준 11 4 2 2" xfId="55" xr:uid="{00000000-0005-0000-0000-00003A000000}"/>
    <cellStyle name="표준 11 4 3" xfId="56" xr:uid="{00000000-0005-0000-0000-00003B000000}"/>
    <cellStyle name="표준 11 5" xfId="57" xr:uid="{00000000-0005-0000-0000-00003C000000}"/>
    <cellStyle name="표준 11 5 2" xfId="58" xr:uid="{00000000-0005-0000-0000-00003D000000}"/>
    <cellStyle name="표준 11 5 2 2" xfId="59" xr:uid="{00000000-0005-0000-0000-00003E000000}"/>
    <cellStyle name="표준 11 5 3" xfId="60" xr:uid="{00000000-0005-0000-0000-00003F000000}"/>
    <cellStyle name="표준 11 6" xfId="61" xr:uid="{00000000-0005-0000-0000-000040000000}"/>
    <cellStyle name="표준 11 6 2" xfId="62" xr:uid="{00000000-0005-0000-0000-000041000000}"/>
    <cellStyle name="표준 11 7" xfId="63" xr:uid="{00000000-0005-0000-0000-000042000000}"/>
    <cellStyle name="표준 11 7 2" xfId="869" xr:uid="{00000000-0005-0000-0000-000043000000}"/>
    <cellStyle name="표준 11 8" xfId="64" xr:uid="{00000000-0005-0000-0000-000044000000}"/>
    <cellStyle name="표준 12" xfId="65" xr:uid="{00000000-0005-0000-0000-000045000000}"/>
    <cellStyle name="표준 13" xfId="66" xr:uid="{00000000-0005-0000-0000-000046000000}"/>
    <cellStyle name="표준 14" xfId="67" xr:uid="{00000000-0005-0000-0000-000047000000}"/>
    <cellStyle name="표준 15" xfId="68" xr:uid="{00000000-0005-0000-0000-000048000000}"/>
    <cellStyle name="표준 15 2" xfId="69" xr:uid="{00000000-0005-0000-0000-000049000000}"/>
    <cellStyle name="표준 15 2 2" xfId="70" xr:uid="{00000000-0005-0000-0000-00004A000000}"/>
    <cellStyle name="표준 15 2 2 2" xfId="71" xr:uid="{00000000-0005-0000-0000-00004B000000}"/>
    <cellStyle name="표준 15 2 2 2 2" xfId="72" xr:uid="{00000000-0005-0000-0000-00004C000000}"/>
    <cellStyle name="표준 15 2 2 3" xfId="73" xr:uid="{00000000-0005-0000-0000-00004D000000}"/>
    <cellStyle name="표준 15 2 3" xfId="74" xr:uid="{00000000-0005-0000-0000-00004E000000}"/>
    <cellStyle name="표준 15 2 3 2" xfId="75" xr:uid="{00000000-0005-0000-0000-00004F000000}"/>
    <cellStyle name="표준 15 2 4" xfId="76" xr:uid="{00000000-0005-0000-0000-000050000000}"/>
    <cellStyle name="표준 15 3" xfId="77" xr:uid="{00000000-0005-0000-0000-000051000000}"/>
    <cellStyle name="표준 15 3 2" xfId="78" xr:uid="{00000000-0005-0000-0000-000052000000}"/>
    <cellStyle name="표준 15 3 2 2" xfId="79" xr:uid="{00000000-0005-0000-0000-000053000000}"/>
    <cellStyle name="표준 15 3 2 2 2" xfId="80" xr:uid="{00000000-0005-0000-0000-000054000000}"/>
    <cellStyle name="표준 15 3 2 3" xfId="81" xr:uid="{00000000-0005-0000-0000-000055000000}"/>
    <cellStyle name="표준 15 3 3" xfId="82" xr:uid="{00000000-0005-0000-0000-000056000000}"/>
    <cellStyle name="표준 15 3 3 2" xfId="83" xr:uid="{00000000-0005-0000-0000-000057000000}"/>
    <cellStyle name="표준 15 3 4" xfId="84" xr:uid="{00000000-0005-0000-0000-000058000000}"/>
    <cellStyle name="표준 15 4" xfId="85" xr:uid="{00000000-0005-0000-0000-000059000000}"/>
    <cellStyle name="표준 15 4 2" xfId="86" xr:uid="{00000000-0005-0000-0000-00005A000000}"/>
    <cellStyle name="표준 15 4 2 2" xfId="87" xr:uid="{00000000-0005-0000-0000-00005B000000}"/>
    <cellStyle name="표준 15 4 3" xfId="88" xr:uid="{00000000-0005-0000-0000-00005C000000}"/>
    <cellStyle name="표준 15 5" xfId="89" xr:uid="{00000000-0005-0000-0000-00005D000000}"/>
    <cellStyle name="표준 15 5 2" xfId="90" xr:uid="{00000000-0005-0000-0000-00005E000000}"/>
    <cellStyle name="표준 15 6" xfId="91" xr:uid="{00000000-0005-0000-0000-00005F000000}"/>
    <cellStyle name="표준 16" xfId="92" xr:uid="{00000000-0005-0000-0000-000060000000}"/>
    <cellStyle name="표준 16 2" xfId="93" xr:uid="{00000000-0005-0000-0000-000061000000}"/>
    <cellStyle name="표준 16 2 2" xfId="94" xr:uid="{00000000-0005-0000-0000-000062000000}"/>
    <cellStyle name="표준 16 2 2 2" xfId="95" xr:uid="{00000000-0005-0000-0000-000063000000}"/>
    <cellStyle name="표준 16 2 2 2 2" xfId="96" xr:uid="{00000000-0005-0000-0000-000064000000}"/>
    <cellStyle name="표준 16 2 2 3" xfId="97" xr:uid="{00000000-0005-0000-0000-000065000000}"/>
    <cellStyle name="표준 16 2 3" xfId="98" xr:uid="{00000000-0005-0000-0000-000066000000}"/>
    <cellStyle name="표준 16 2 3 2" xfId="99" xr:uid="{00000000-0005-0000-0000-000067000000}"/>
    <cellStyle name="표준 16 2 4" xfId="100" xr:uid="{00000000-0005-0000-0000-000068000000}"/>
    <cellStyle name="표준 16 3" xfId="101" xr:uid="{00000000-0005-0000-0000-000069000000}"/>
    <cellStyle name="표준 16 3 2" xfId="102" xr:uid="{00000000-0005-0000-0000-00006A000000}"/>
    <cellStyle name="표준 16 3 2 2" xfId="103" xr:uid="{00000000-0005-0000-0000-00006B000000}"/>
    <cellStyle name="표준 16 3 3" xfId="104" xr:uid="{00000000-0005-0000-0000-00006C000000}"/>
    <cellStyle name="표준 16 4" xfId="105" xr:uid="{00000000-0005-0000-0000-00006D000000}"/>
    <cellStyle name="표준 16 4 2" xfId="106" xr:uid="{00000000-0005-0000-0000-00006E000000}"/>
    <cellStyle name="표준 16 5" xfId="107" xr:uid="{00000000-0005-0000-0000-00006F000000}"/>
    <cellStyle name="표준 17" xfId="108" xr:uid="{00000000-0005-0000-0000-000070000000}"/>
    <cellStyle name="표준 17 2" xfId="109" xr:uid="{00000000-0005-0000-0000-000071000000}"/>
    <cellStyle name="표준 17 2 2" xfId="110" xr:uid="{00000000-0005-0000-0000-000072000000}"/>
    <cellStyle name="표준 17 2 2 2" xfId="111" xr:uid="{00000000-0005-0000-0000-000073000000}"/>
    <cellStyle name="표준 17 2 3" xfId="112" xr:uid="{00000000-0005-0000-0000-000074000000}"/>
    <cellStyle name="표준 17 3" xfId="113" xr:uid="{00000000-0005-0000-0000-000075000000}"/>
    <cellStyle name="표준 17 3 2" xfId="114" xr:uid="{00000000-0005-0000-0000-000076000000}"/>
    <cellStyle name="표준 17 4" xfId="115" xr:uid="{00000000-0005-0000-0000-000077000000}"/>
    <cellStyle name="표준 18" xfId="116" xr:uid="{00000000-0005-0000-0000-000078000000}"/>
    <cellStyle name="표준 18 2" xfId="117" xr:uid="{00000000-0005-0000-0000-000079000000}"/>
    <cellStyle name="표준 18 2 2" xfId="118" xr:uid="{00000000-0005-0000-0000-00007A000000}"/>
    <cellStyle name="표준 18 3" xfId="119" xr:uid="{00000000-0005-0000-0000-00007B000000}"/>
    <cellStyle name="표준 18 3 2" xfId="120" xr:uid="{00000000-0005-0000-0000-00007C000000}"/>
    <cellStyle name="표준 18 3 3" xfId="870" xr:uid="{00000000-0005-0000-0000-00007D000000}"/>
    <cellStyle name="표준 18 4" xfId="121" xr:uid="{00000000-0005-0000-0000-00007E000000}"/>
    <cellStyle name="표준 19" xfId="122" xr:uid="{00000000-0005-0000-0000-00007F000000}"/>
    <cellStyle name="표준 19 2" xfId="871" xr:uid="{00000000-0005-0000-0000-000080000000}"/>
    <cellStyle name="표준 19 2 2" xfId="872" xr:uid="{00000000-0005-0000-0000-000081000000}"/>
    <cellStyle name="표준 19 3" xfId="873" xr:uid="{00000000-0005-0000-0000-000082000000}"/>
    <cellStyle name="표준 19 4" xfId="874" xr:uid="{00000000-0005-0000-0000-000083000000}"/>
    <cellStyle name="표준 2" xfId="123" xr:uid="{00000000-0005-0000-0000-000084000000}"/>
    <cellStyle name="표준 2 2" xfId="124" xr:uid="{00000000-0005-0000-0000-000085000000}"/>
    <cellStyle name="표준 2 3" xfId="125" xr:uid="{00000000-0005-0000-0000-000086000000}"/>
    <cellStyle name="표준 2 3 10" xfId="126" xr:uid="{00000000-0005-0000-0000-000087000000}"/>
    <cellStyle name="표준 2 3 10 2" xfId="127" xr:uid="{00000000-0005-0000-0000-000088000000}"/>
    <cellStyle name="표준 2 3 11" xfId="128" xr:uid="{00000000-0005-0000-0000-000089000000}"/>
    <cellStyle name="표준 2 3 12" xfId="129" xr:uid="{00000000-0005-0000-0000-00008A000000}"/>
    <cellStyle name="표준 2 3 2" xfId="130" xr:uid="{00000000-0005-0000-0000-00008B000000}"/>
    <cellStyle name="표준 2 3 2 2" xfId="131" xr:uid="{00000000-0005-0000-0000-00008C000000}"/>
    <cellStyle name="표준 2 3 2 2 2" xfId="132" xr:uid="{00000000-0005-0000-0000-00008D000000}"/>
    <cellStyle name="표준 2 3 2 2 2 2" xfId="133" xr:uid="{00000000-0005-0000-0000-00008E000000}"/>
    <cellStyle name="표준 2 3 2 2 3" xfId="134" xr:uid="{00000000-0005-0000-0000-00008F000000}"/>
    <cellStyle name="표준 2 3 2 3" xfId="135" xr:uid="{00000000-0005-0000-0000-000090000000}"/>
    <cellStyle name="표준 2 3 2 3 2" xfId="136" xr:uid="{00000000-0005-0000-0000-000091000000}"/>
    <cellStyle name="표준 2 3 2 3 2 2" xfId="137" xr:uid="{00000000-0005-0000-0000-000092000000}"/>
    <cellStyle name="표준 2 3 2 3 3" xfId="138" xr:uid="{00000000-0005-0000-0000-000093000000}"/>
    <cellStyle name="표준 2 3 2 4" xfId="139" xr:uid="{00000000-0005-0000-0000-000094000000}"/>
    <cellStyle name="표준 2 3 2 4 2" xfId="140" xr:uid="{00000000-0005-0000-0000-000095000000}"/>
    <cellStyle name="표준 2 3 2 4 2 2" xfId="141" xr:uid="{00000000-0005-0000-0000-000096000000}"/>
    <cellStyle name="표준 2 3 2 4 3" xfId="142" xr:uid="{00000000-0005-0000-0000-000097000000}"/>
    <cellStyle name="표준 2 3 2 5" xfId="143" xr:uid="{00000000-0005-0000-0000-000098000000}"/>
    <cellStyle name="표준 2 3 2 5 2" xfId="144" xr:uid="{00000000-0005-0000-0000-000099000000}"/>
    <cellStyle name="표준 2 3 2 6" xfId="145" xr:uid="{00000000-0005-0000-0000-00009A000000}"/>
    <cellStyle name="표준 2 3 3" xfId="146" xr:uid="{00000000-0005-0000-0000-00009B000000}"/>
    <cellStyle name="표준 2 3 3 2" xfId="147" xr:uid="{00000000-0005-0000-0000-00009C000000}"/>
    <cellStyle name="표준 2 3 3 2 2" xfId="148" xr:uid="{00000000-0005-0000-0000-00009D000000}"/>
    <cellStyle name="표준 2 3 3 2 2 2" xfId="149" xr:uid="{00000000-0005-0000-0000-00009E000000}"/>
    <cellStyle name="표준 2 3 3 2 3" xfId="150" xr:uid="{00000000-0005-0000-0000-00009F000000}"/>
    <cellStyle name="표준 2 3 3 3" xfId="151" xr:uid="{00000000-0005-0000-0000-0000A0000000}"/>
    <cellStyle name="표준 2 3 3 3 2" xfId="152" xr:uid="{00000000-0005-0000-0000-0000A1000000}"/>
    <cellStyle name="표준 2 3 3 4" xfId="153" xr:uid="{00000000-0005-0000-0000-0000A2000000}"/>
    <cellStyle name="표준 2 3 4" xfId="154" xr:uid="{00000000-0005-0000-0000-0000A3000000}"/>
    <cellStyle name="표준 2 3 4 2" xfId="155" xr:uid="{00000000-0005-0000-0000-0000A4000000}"/>
    <cellStyle name="표준 2 3 4 2 2" xfId="156" xr:uid="{00000000-0005-0000-0000-0000A5000000}"/>
    <cellStyle name="표준 2 3 4 2 2 2" xfId="157" xr:uid="{00000000-0005-0000-0000-0000A6000000}"/>
    <cellStyle name="표준 2 3 4 2 2 2 2" xfId="158" xr:uid="{00000000-0005-0000-0000-0000A7000000}"/>
    <cellStyle name="표준 2 3 4 2 2 3" xfId="159" xr:uid="{00000000-0005-0000-0000-0000A8000000}"/>
    <cellStyle name="표준 2 3 4 2 3" xfId="160" xr:uid="{00000000-0005-0000-0000-0000A9000000}"/>
    <cellStyle name="표준 2 3 4 2 3 2" xfId="161" xr:uid="{00000000-0005-0000-0000-0000AA000000}"/>
    <cellStyle name="표준 2 3 4 2 4" xfId="162" xr:uid="{00000000-0005-0000-0000-0000AB000000}"/>
    <cellStyle name="표준 2 3 4 3" xfId="163" xr:uid="{00000000-0005-0000-0000-0000AC000000}"/>
    <cellStyle name="표준 2 3 4 3 2" xfId="164" xr:uid="{00000000-0005-0000-0000-0000AD000000}"/>
    <cellStyle name="표준 2 3 4 3 2 2" xfId="165" xr:uid="{00000000-0005-0000-0000-0000AE000000}"/>
    <cellStyle name="표준 2 3 4 3 3" xfId="166" xr:uid="{00000000-0005-0000-0000-0000AF000000}"/>
    <cellStyle name="표준 2 3 4 4" xfId="167" xr:uid="{00000000-0005-0000-0000-0000B0000000}"/>
    <cellStyle name="표준 2 3 4 4 2" xfId="168" xr:uid="{00000000-0005-0000-0000-0000B1000000}"/>
    <cellStyle name="표준 2 3 4 5" xfId="169" xr:uid="{00000000-0005-0000-0000-0000B2000000}"/>
    <cellStyle name="표준 2 3 5" xfId="170" xr:uid="{00000000-0005-0000-0000-0000B3000000}"/>
    <cellStyle name="표준 2 3 5 2" xfId="171" xr:uid="{00000000-0005-0000-0000-0000B4000000}"/>
    <cellStyle name="표준 2 3 5 2 2" xfId="172" xr:uid="{00000000-0005-0000-0000-0000B5000000}"/>
    <cellStyle name="표준 2 3 5 2 2 2" xfId="173" xr:uid="{00000000-0005-0000-0000-0000B6000000}"/>
    <cellStyle name="표준 2 3 5 2 3" xfId="174" xr:uid="{00000000-0005-0000-0000-0000B7000000}"/>
    <cellStyle name="표준 2 3 5 3" xfId="175" xr:uid="{00000000-0005-0000-0000-0000B8000000}"/>
    <cellStyle name="표준 2 3 5 3 2" xfId="176" xr:uid="{00000000-0005-0000-0000-0000B9000000}"/>
    <cellStyle name="표준 2 3 5 4" xfId="177" xr:uid="{00000000-0005-0000-0000-0000BA000000}"/>
    <cellStyle name="표준 2 3 5 4 2" xfId="178" xr:uid="{00000000-0005-0000-0000-0000BB000000}"/>
    <cellStyle name="표준 2 3 5 4 3" xfId="179" xr:uid="{00000000-0005-0000-0000-0000BC000000}"/>
    <cellStyle name="표준 2 3 5 4 3 2" xfId="875" xr:uid="{00000000-0005-0000-0000-0000BD000000}"/>
    <cellStyle name="표준 2 3 5 4 4" xfId="876" xr:uid="{00000000-0005-0000-0000-0000BE000000}"/>
    <cellStyle name="표준 2 3 5 4 5" xfId="877" xr:uid="{00000000-0005-0000-0000-0000BF000000}"/>
    <cellStyle name="표준 2 3 5 5" xfId="180" xr:uid="{00000000-0005-0000-0000-0000C0000000}"/>
    <cellStyle name="표준 2 3 5 6" xfId="878" xr:uid="{00000000-0005-0000-0000-0000C1000000}"/>
    <cellStyle name="표준 2 3 6" xfId="181" xr:uid="{00000000-0005-0000-0000-0000C2000000}"/>
    <cellStyle name="표준 2 3 6 2" xfId="182" xr:uid="{00000000-0005-0000-0000-0000C3000000}"/>
    <cellStyle name="표준 2 3 6 2 2" xfId="183" xr:uid="{00000000-0005-0000-0000-0000C4000000}"/>
    <cellStyle name="표준 2 3 6 2 2 2" xfId="184" xr:uid="{00000000-0005-0000-0000-0000C5000000}"/>
    <cellStyle name="표준 2 3 6 2 3" xfId="185" xr:uid="{00000000-0005-0000-0000-0000C6000000}"/>
    <cellStyle name="표준 2 3 6 3" xfId="186" xr:uid="{00000000-0005-0000-0000-0000C7000000}"/>
    <cellStyle name="표준 2 3 6 3 2" xfId="187" xr:uid="{00000000-0005-0000-0000-0000C8000000}"/>
    <cellStyle name="표준 2 3 6 4" xfId="188" xr:uid="{00000000-0005-0000-0000-0000C9000000}"/>
    <cellStyle name="표준 2 3 7" xfId="189" xr:uid="{00000000-0005-0000-0000-0000CA000000}"/>
    <cellStyle name="표준 2 3 7 2" xfId="190" xr:uid="{00000000-0005-0000-0000-0000CB000000}"/>
    <cellStyle name="표준 2 3 7 2 2" xfId="191" xr:uid="{00000000-0005-0000-0000-0000CC000000}"/>
    <cellStyle name="표준 2 3 7 2 2 2" xfId="192" xr:uid="{00000000-0005-0000-0000-0000CD000000}"/>
    <cellStyle name="표준 2 3 7 2 3" xfId="193" xr:uid="{00000000-0005-0000-0000-0000CE000000}"/>
    <cellStyle name="표준 2 3 7 3" xfId="194" xr:uid="{00000000-0005-0000-0000-0000CF000000}"/>
    <cellStyle name="표준 2 3 7 3 2" xfId="195" xr:uid="{00000000-0005-0000-0000-0000D0000000}"/>
    <cellStyle name="표준 2 3 7 4" xfId="196" xr:uid="{00000000-0005-0000-0000-0000D1000000}"/>
    <cellStyle name="표준 2 3 7 5" xfId="879" xr:uid="{00000000-0005-0000-0000-0000D2000000}"/>
    <cellStyle name="표준 2 3 8" xfId="197" xr:uid="{00000000-0005-0000-0000-0000D3000000}"/>
    <cellStyle name="표준 2 3 8 2" xfId="198" xr:uid="{00000000-0005-0000-0000-0000D4000000}"/>
    <cellStyle name="표준 2 3 8 2 2" xfId="199" xr:uid="{00000000-0005-0000-0000-0000D5000000}"/>
    <cellStyle name="표준 2 3 8 2 2 2" xfId="200" xr:uid="{00000000-0005-0000-0000-0000D6000000}"/>
    <cellStyle name="표준 2 3 8 2 3" xfId="201" xr:uid="{00000000-0005-0000-0000-0000D7000000}"/>
    <cellStyle name="표준 2 3 8 3" xfId="202" xr:uid="{00000000-0005-0000-0000-0000D8000000}"/>
    <cellStyle name="표준 2 3 8 3 2" xfId="203" xr:uid="{00000000-0005-0000-0000-0000D9000000}"/>
    <cellStyle name="표준 2 3 8 4" xfId="204" xr:uid="{00000000-0005-0000-0000-0000DA000000}"/>
    <cellStyle name="표준 2 3 9" xfId="205" xr:uid="{00000000-0005-0000-0000-0000DB000000}"/>
    <cellStyle name="표준 2 3 9 2" xfId="206" xr:uid="{00000000-0005-0000-0000-0000DC000000}"/>
    <cellStyle name="표준 2 3 9 2 2" xfId="207" xr:uid="{00000000-0005-0000-0000-0000DD000000}"/>
    <cellStyle name="표준 2 3 9 3" xfId="208" xr:uid="{00000000-0005-0000-0000-0000DE000000}"/>
    <cellStyle name="표준 2 3 9 3 2" xfId="209" xr:uid="{00000000-0005-0000-0000-0000DF000000}"/>
    <cellStyle name="표준 2 3 9 3 3" xfId="210" xr:uid="{00000000-0005-0000-0000-0000E0000000}"/>
    <cellStyle name="표준 2 3 9 3 4" xfId="880" xr:uid="{00000000-0005-0000-0000-0000E1000000}"/>
    <cellStyle name="표준 2 3 9 3 5" xfId="881" xr:uid="{00000000-0005-0000-0000-0000E2000000}"/>
    <cellStyle name="표준 2 3 9 4" xfId="211" xr:uid="{00000000-0005-0000-0000-0000E3000000}"/>
    <cellStyle name="표준 2 4" xfId="212" xr:uid="{00000000-0005-0000-0000-0000E4000000}"/>
    <cellStyle name="표준 2 5" xfId="213" xr:uid="{00000000-0005-0000-0000-0000E5000000}"/>
    <cellStyle name="표준 2 5 2" xfId="214" xr:uid="{00000000-0005-0000-0000-0000E6000000}"/>
    <cellStyle name="표준 2 5 2 2" xfId="215" xr:uid="{00000000-0005-0000-0000-0000E7000000}"/>
    <cellStyle name="표준 2 5 3" xfId="216" xr:uid="{00000000-0005-0000-0000-0000E8000000}"/>
    <cellStyle name="표준 2 6" xfId="217" xr:uid="{00000000-0005-0000-0000-0000E9000000}"/>
    <cellStyle name="표준 2 6 2" xfId="218" xr:uid="{00000000-0005-0000-0000-0000EA000000}"/>
    <cellStyle name="표준 2 7" xfId="219" xr:uid="{00000000-0005-0000-0000-0000EB000000}"/>
    <cellStyle name="표준 20" xfId="882" xr:uid="{00000000-0005-0000-0000-0000EC000000}"/>
    <cellStyle name="표준 21" xfId="883" xr:uid="{00000000-0005-0000-0000-0000ED000000}"/>
    <cellStyle name="표준 22" xfId="884" xr:uid="{00000000-0005-0000-0000-0000EE000000}"/>
    <cellStyle name="표준 3" xfId="220" xr:uid="{00000000-0005-0000-0000-0000EF000000}"/>
    <cellStyle name="표준 3 10" xfId="885" xr:uid="{00000000-0005-0000-0000-0000F0000000}"/>
    <cellStyle name="표준 3 11" xfId="886" xr:uid="{00000000-0005-0000-0000-0000F1000000}"/>
    <cellStyle name="표준 3 12" xfId="887" xr:uid="{00000000-0005-0000-0000-0000F2000000}"/>
    <cellStyle name="표준 3 2" xfId="221" xr:uid="{00000000-0005-0000-0000-0000F3000000}"/>
    <cellStyle name="표준 3 2 2" xfId="222" xr:uid="{00000000-0005-0000-0000-0000F4000000}"/>
    <cellStyle name="표준 3 2 2 2" xfId="223" xr:uid="{00000000-0005-0000-0000-0000F5000000}"/>
    <cellStyle name="표준 3 2 2 2 2" xfId="224" xr:uid="{00000000-0005-0000-0000-0000F6000000}"/>
    <cellStyle name="표준 3 2 2 2 2 2" xfId="225" xr:uid="{00000000-0005-0000-0000-0000F7000000}"/>
    <cellStyle name="표준 3 2 2 2 2 2 2" xfId="226" xr:uid="{00000000-0005-0000-0000-0000F8000000}"/>
    <cellStyle name="표준 3 2 2 2 2 3" xfId="227" xr:uid="{00000000-0005-0000-0000-0000F9000000}"/>
    <cellStyle name="표준 3 2 2 2 3" xfId="228" xr:uid="{00000000-0005-0000-0000-0000FA000000}"/>
    <cellStyle name="표준 3 2 2 2 3 2" xfId="229" xr:uid="{00000000-0005-0000-0000-0000FB000000}"/>
    <cellStyle name="표준 3 2 2 2 4" xfId="230" xr:uid="{00000000-0005-0000-0000-0000FC000000}"/>
    <cellStyle name="표준 3 2 2 3" xfId="231" xr:uid="{00000000-0005-0000-0000-0000FD000000}"/>
    <cellStyle name="표준 3 2 2 3 2" xfId="232" xr:uid="{00000000-0005-0000-0000-0000FE000000}"/>
    <cellStyle name="표준 3 2 2 3 2 2" xfId="233" xr:uid="{00000000-0005-0000-0000-0000FF000000}"/>
    <cellStyle name="표준 3 2 2 3 3" xfId="234" xr:uid="{00000000-0005-0000-0000-000000010000}"/>
    <cellStyle name="표준 3 2 2 4" xfId="235" xr:uid="{00000000-0005-0000-0000-000001010000}"/>
    <cellStyle name="표준 3 2 2 4 2" xfId="236" xr:uid="{00000000-0005-0000-0000-000002010000}"/>
    <cellStyle name="표준 3 2 2 5" xfId="237" xr:uid="{00000000-0005-0000-0000-000003010000}"/>
    <cellStyle name="표준 3 2 3" xfId="238" xr:uid="{00000000-0005-0000-0000-000004010000}"/>
    <cellStyle name="표준 3 2 3 2" xfId="239" xr:uid="{00000000-0005-0000-0000-000005010000}"/>
    <cellStyle name="표준 3 2 3 2 2" xfId="240" xr:uid="{00000000-0005-0000-0000-000006010000}"/>
    <cellStyle name="표준 3 2 3 2 2 2" xfId="241" xr:uid="{00000000-0005-0000-0000-000007010000}"/>
    <cellStyle name="표준 3 2 3 2 3" xfId="242" xr:uid="{00000000-0005-0000-0000-000008010000}"/>
    <cellStyle name="표준 3 2 3 3" xfId="243" xr:uid="{00000000-0005-0000-0000-000009010000}"/>
    <cellStyle name="표준 3 2 3 3 2" xfId="244" xr:uid="{00000000-0005-0000-0000-00000A010000}"/>
    <cellStyle name="표준 3 2 3 4" xfId="245" xr:uid="{00000000-0005-0000-0000-00000B010000}"/>
    <cellStyle name="표준 3 2 4" xfId="246" xr:uid="{00000000-0005-0000-0000-00000C010000}"/>
    <cellStyle name="표준 3 2 4 2" xfId="247" xr:uid="{00000000-0005-0000-0000-00000D010000}"/>
    <cellStyle name="표준 3 2 4 2 2" xfId="248" xr:uid="{00000000-0005-0000-0000-00000E010000}"/>
    <cellStyle name="표준 3 2 4 2 2 2" xfId="249" xr:uid="{00000000-0005-0000-0000-00000F010000}"/>
    <cellStyle name="표준 3 2 4 2 3" xfId="250" xr:uid="{00000000-0005-0000-0000-000010010000}"/>
    <cellStyle name="표준 3 2 4 3" xfId="251" xr:uid="{00000000-0005-0000-0000-000011010000}"/>
    <cellStyle name="표준 3 2 4 3 2" xfId="252" xr:uid="{00000000-0005-0000-0000-000012010000}"/>
    <cellStyle name="표준 3 2 4 4" xfId="253" xr:uid="{00000000-0005-0000-0000-000013010000}"/>
    <cellStyle name="표준 3 2 5" xfId="254" xr:uid="{00000000-0005-0000-0000-000014010000}"/>
    <cellStyle name="표준 3 2 5 2" xfId="255" xr:uid="{00000000-0005-0000-0000-000015010000}"/>
    <cellStyle name="표준 3 2 5 2 2" xfId="256" xr:uid="{00000000-0005-0000-0000-000016010000}"/>
    <cellStyle name="표준 3 2 5 2 2 2" xfId="257" xr:uid="{00000000-0005-0000-0000-000017010000}"/>
    <cellStyle name="표준 3 2 5 2 3" xfId="258" xr:uid="{00000000-0005-0000-0000-000018010000}"/>
    <cellStyle name="표준 3 2 5 3" xfId="259" xr:uid="{00000000-0005-0000-0000-000019010000}"/>
    <cellStyle name="표준 3 2 5 3 2" xfId="260" xr:uid="{00000000-0005-0000-0000-00001A010000}"/>
    <cellStyle name="표준 3 2 5 4" xfId="261" xr:uid="{00000000-0005-0000-0000-00001B010000}"/>
    <cellStyle name="표준 3 2 6" xfId="262" xr:uid="{00000000-0005-0000-0000-00001C010000}"/>
    <cellStyle name="표준 3 2 6 2" xfId="263" xr:uid="{00000000-0005-0000-0000-00001D010000}"/>
    <cellStyle name="표준 3 2 6 2 2" xfId="264" xr:uid="{00000000-0005-0000-0000-00001E010000}"/>
    <cellStyle name="표준 3 2 6 2 2 2" xfId="265" xr:uid="{00000000-0005-0000-0000-00001F010000}"/>
    <cellStyle name="표준 3 2 6 2 3" xfId="266" xr:uid="{00000000-0005-0000-0000-000020010000}"/>
    <cellStyle name="표준 3 2 6 3" xfId="267" xr:uid="{00000000-0005-0000-0000-000021010000}"/>
    <cellStyle name="표준 3 2 6 3 2" xfId="268" xr:uid="{00000000-0005-0000-0000-000022010000}"/>
    <cellStyle name="표준 3 2 6 4" xfId="269" xr:uid="{00000000-0005-0000-0000-000023010000}"/>
    <cellStyle name="표준 3 2 7" xfId="270" xr:uid="{00000000-0005-0000-0000-000024010000}"/>
    <cellStyle name="표준 3 2 7 2" xfId="271" xr:uid="{00000000-0005-0000-0000-000025010000}"/>
    <cellStyle name="표준 3 2 7 2 2" xfId="272" xr:uid="{00000000-0005-0000-0000-000026010000}"/>
    <cellStyle name="표준 3 2 7 3" xfId="273" xr:uid="{00000000-0005-0000-0000-000027010000}"/>
    <cellStyle name="표준 3 2 8" xfId="274" xr:uid="{00000000-0005-0000-0000-000028010000}"/>
    <cellStyle name="표준 3 2 8 2" xfId="275" xr:uid="{00000000-0005-0000-0000-000029010000}"/>
    <cellStyle name="표준 3 2 9" xfId="276" xr:uid="{00000000-0005-0000-0000-00002A010000}"/>
    <cellStyle name="표준 3 3" xfId="277" xr:uid="{00000000-0005-0000-0000-00002B010000}"/>
    <cellStyle name="표준 3 3 10" xfId="278" xr:uid="{00000000-0005-0000-0000-00002C010000}"/>
    <cellStyle name="표준 3 3 2" xfId="279" xr:uid="{00000000-0005-0000-0000-00002D010000}"/>
    <cellStyle name="표준 3 3 2 2" xfId="280" xr:uid="{00000000-0005-0000-0000-00002E010000}"/>
    <cellStyle name="표준 3 3 2 2 2" xfId="281" xr:uid="{00000000-0005-0000-0000-00002F010000}"/>
    <cellStyle name="표준 3 3 2 2 2 2" xfId="282" xr:uid="{00000000-0005-0000-0000-000030010000}"/>
    <cellStyle name="표준 3 3 2 2 2 2 2" xfId="283" xr:uid="{00000000-0005-0000-0000-000031010000}"/>
    <cellStyle name="표준 3 3 2 2 2 3" xfId="284" xr:uid="{00000000-0005-0000-0000-000032010000}"/>
    <cellStyle name="표준 3 3 2 2 3" xfId="285" xr:uid="{00000000-0005-0000-0000-000033010000}"/>
    <cellStyle name="표준 3 3 2 2 3 2" xfId="286" xr:uid="{00000000-0005-0000-0000-000034010000}"/>
    <cellStyle name="표준 3 3 2 2 3 2 2" xfId="287" xr:uid="{00000000-0005-0000-0000-000035010000}"/>
    <cellStyle name="표준 3 3 2 2 3 3" xfId="288" xr:uid="{00000000-0005-0000-0000-000036010000}"/>
    <cellStyle name="표준 3 3 2 2 4" xfId="289" xr:uid="{00000000-0005-0000-0000-000037010000}"/>
    <cellStyle name="표준 3 3 2 2 4 2" xfId="290" xr:uid="{00000000-0005-0000-0000-000038010000}"/>
    <cellStyle name="표준 3 3 2 2 5" xfId="291" xr:uid="{00000000-0005-0000-0000-000039010000}"/>
    <cellStyle name="표준 3 3 2 3" xfId="292" xr:uid="{00000000-0005-0000-0000-00003A010000}"/>
    <cellStyle name="표준 3 3 2 3 2" xfId="293" xr:uid="{00000000-0005-0000-0000-00003B010000}"/>
    <cellStyle name="표준 3 3 2 3 2 2" xfId="294" xr:uid="{00000000-0005-0000-0000-00003C010000}"/>
    <cellStyle name="표준 3 3 2 3 3" xfId="295" xr:uid="{00000000-0005-0000-0000-00003D010000}"/>
    <cellStyle name="표준 3 3 2 4" xfId="296" xr:uid="{00000000-0005-0000-0000-00003E010000}"/>
    <cellStyle name="표준 3 3 2 4 2" xfId="297" xr:uid="{00000000-0005-0000-0000-00003F010000}"/>
    <cellStyle name="표준 3 3 2 4 2 2" xfId="298" xr:uid="{00000000-0005-0000-0000-000040010000}"/>
    <cellStyle name="표준 3 3 2 4 3" xfId="299" xr:uid="{00000000-0005-0000-0000-000041010000}"/>
    <cellStyle name="표준 3 3 2 5" xfId="300" xr:uid="{00000000-0005-0000-0000-000042010000}"/>
    <cellStyle name="표준 3 3 2 5 2" xfId="301" xr:uid="{00000000-0005-0000-0000-000043010000}"/>
    <cellStyle name="표준 3 3 2 6" xfId="302" xr:uid="{00000000-0005-0000-0000-000044010000}"/>
    <cellStyle name="표준 3 3 3" xfId="303" xr:uid="{00000000-0005-0000-0000-000045010000}"/>
    <cellStyle name="표준 3 3 3 2" xfId="304" xr:uid="{00000000-0005-0000-0000-000046010000}"/>
    <cellStyle name="표준 3 3 3 2 2" xfId="305" xr:uid="{00000000-0005-0000-0000-000047010000}"/>
    <cellStyle name="표준 3 3 3 2 2 2" xfId="306" xr:uid="{00000000-0005-0000-0000-000048010000}"/>
    <cellStyle name="표준 3 3 3 2 2 2 2" xfId="307" xr:uid="{00000000-0005-0000-0000-000049010000}"/>
    <cellStyle name="표준 3 3 3 2 2 3" xfId="308" xr:uid="{00000000-0005-0000-0000-00004A010000}"/>
    <cellStyle name="표준 3 3 3 2 3" xfId="309" xr:uid="{00000000-0005-0000-0000-00004B010000}"/>
    <cellStyle name="표준 3 3 3 2 3 2" xfId="310" xr:uid="{00000000-0005-0000-0000-00004C010000}"/>
    <cellStyle name="표준 3 3 3 2 4" xfId="311" xr:uid="{00000000-0005-0000-0000-00004D010000}"/>
    <cellStyle name="표준 3 3 3 3" xfId="312" xr:uid="{00000000-0005-0000-0000-00004E010000}"/>
    <cellStyle name="표준 3 3 3 3 2" xfId="313" xr:uid="{00000000-0005-0000-0000-00004F010000}"/>
    <cellStyle name="표준 3 3 3 3 2 2" xfId="314" xr:uid="{00000000-0005-0000-0000-000050010000}"/>
    <cellStyle name="표준 3 3 3 3 2 2 2" xfId="315" xr:uid="{00000000-0005-0000-0000-000051010000}"/>
    <cellStyle name="표준 3 3 3 3 2 3" xfId="316" xr:uid="{00000000-0005-0000-0000-000052010000}"/>
    <cellStyle name="표준 3 3 3 3 3" xfId="317" xr:uid="{00000000-0005-0000-0000-000053010000}"/>
    <cellStyle name="표준 3 3 3 3 3 2" xfId="318" xr:uid="{00000000-0005-0000-0000-000054010000}"/>
    <cellStyle name="표준 3 3 3 3 4" xfId="319" xr:uid="{00000000-0005-0000-0000-000055010000}"/>
    <cellStyle name="표준 3 3 3 4" xfId="320" xr:uid="{00000000-0005-0000-0000-000056010000}"/>
    <cellStyle name="표준 3 3 3 4 2" xfId="321" xr:uid="{00000000-0005-0000-0000-000057010000}"/>
    <cellStyle name="표준 3 3 3 4 2 2" xfId="322" xr:uid="{00000000-0005-0000-0000-000058010000}"/>
    <cellStyle name="표준 3 3 3 4 3" xfId="323" xr:uid="{00000000-0005-0000-0000-000059010000}"/>
    <cellStyle name="표준 3 3 3 5" xfId="324" xr:uid="{00000000-0005-0000-0000-00005A010000}"/>
    <cellStyle name="표준 3 3 3 5 2" xfId="325" xr:uid="{00000000-0005-0000-0000-00005B010000}"/>
    <cellStyle name="표준 3 3 3 6" xfId="326" xr:uid="{00000000-0005-0000-0000-00005C010000}"/>
    <cellStyle name="표준 3 3 4" xfId="327" xr:uid="{00000000-0005-0000-0000-00005D010000}"/>
    <cellStyle name="표준 3 3 4 2" xfId="328" xr:uid="{00000000-0005-0000-0000-00005E010000}"/>
    <cellStyle name="표준 3 3 4 2 2" xfId="329" xr:uid="{00000000-0005-0000-0000-00005F010000}"/>
    <cellStyle name="표준 3 3 4 2 2 2" xfId="330" xr:uid="{00000000-0005-0000-0000-000060010000}"/>
    <cellStyle name="표준 3 3 4 2 2 2 2" xfId="331" xr:uid="{00000000-0005-0000-0000-000061010000}"/>
    <cellStyle name="표준 3 3 4 2 2 2 2 2" xfId="332" xr:uid="{00000000-0005-0000-0000-000062010000}"/>
    <cellStyle name="표준 3 3 4 2 2 2 3" xfId="333" xr:uid="{00000000-0005-0000-0000-000063010000}"/>
    <cellStyle name="표준 3 3 4 2 2 3" xfId="334" xr:uid="{00000000-0005-0000-0000-000064010000}"/>
    <cellStyle name="표준 3 3 4 2 2 3 2" xfId="335" xr:uid="{00000000-0005-0000-0000-000065010000}"/>
    <cellStyle name="표준 3 3 4 2 2 4" xfId="336" xr:uid="{00000000-0005-0000-0000-000066010000}"/>
    <cellStyle name="표준 3 3 4 2 3" xfId="337" xr:uid="{00000000-0005-0000-0000-000067010000}"/>
    <cellStyle name="표준 3 3 4 2 3 2" xfId="338" xr:uid="{00000000-0005-0000-0000-000068010000}"/>
    <cellStyle name="표준 3 3 4 2 3 2 2" xfId="339" xr:uid="{00000000-0005-0000-0000-000069010000}"/>
    <cellStyle name="표준 3 3 4 2 3 2 2 2" xfId="340" xr:uid="{00000000-0005-0000-0000-00006A010000}"/>
    <cellStyle name="표준 3 3 4 2 3 2 3" xfId="341" xr:uid="{00000000-0005-0000-0000-00006B010000}"/>
    <cellStyle name="표준 3 3 4 2 3 3" xfId="342" xr:uid="{00000000-0005-0000-0000-00006C010000}"/>
    <cellStyle name="표준 3 3 4 2 3 3 2" xfId="343" xr:uid="{00000000-0005-0000-0000-00006D010000}"/>
    <cellStyle name="표준 3 3 4 2 3 4" xfId="344" xr:uid="{00000000-0005-0000-0000-00006E010000}"/>
    <cellStyle name="표준 3 3 4 2 4" xfId="345" xr:uid="{00000000-0005-0000-0000-00006F010000}"/>
    <cellStyle name="표준 3 3 4 2 4 2" xfId="346" xr:uid="{00000000-0005-0000-0000-000070010000}"/>
    <cellStyle name="표준 3 3 4 2 4 2 2" xfId="347" xr:uid="{00000000-0005-0000-0000-000071010000}"/>
    <cellStyle name="표준 3 3 4 2 4 2 2 2" xfId="348" xr:uid="{00000000-0005-0000-0000-000072010000}"/>
    <cellStyle name="표준 3 3 4 2 4 2 3" xfId="349" xr:uid="{00000000-0005-0000-0000-000073010000}"/>
    <cellStyle name="표준 3 3 4 2 4 3" xfId="350" xr:uid="{00000000-0005-0000-0000-000074010000}"/>
    <cellStyle name="표준 3 3 4 2 4 3 2" xfId="351" xr:uid="{00000000-0005-0000-0000-000075010000}"/>
    <cellStyle name="표준 3 3 4 2 4 4" xfId="352" xr:uid="{00000000-0005-0000-0000-000076010000}"/>
    <cellStyle name="표준 3 3 4 2 5" xfId="353" xr:uid="{00000000-0005-0000-0000-000077010000}"/>
    <cellStyle name="표준 3 3 4 2 5 2" xfId="354" xr:uid="{00000000-0005-0000-0000-000078010000}"/>
    <cellStyle name="표준 3 3 4 2 5 2 2" xfId="355" xr:uid="{00000000-0005-0000-0000-000079010000}"/>
    <cellStyle name="표준 3 3 4 2 5 2 2 2" xfId="356" xr:uid="{00000000-0005-0000-0000-00007A010000}"/>
    <cellStyle name="표준 3 3 4 2 5 2 2 2 2" xfId="357" xr:uid="{00000000-0005-0000-0000-00007B010000}"/>
    <cellStyle name="표준 3 3 4 2 5 2 2 3" xfId="358" xr:uid="{00000000-0005-0000-0000-00007C010000}"/>
    <cellStyle name="표준 3 3 4 2 5 2 3" xfId="359" xr:uid="{00000000-0005-0000-0000-00007D010000}"/>
    <cellStyle name="표준 3 3 4 2 5 2 3 2" xfId="360" xr:uid="{00000000-0005-0000-0000-00007E010000}"/>
    <cellStyle name="표준 3 3 4 2 5 2 4" xfId="361" xr:uid="{00000000-0005-0000-0000-00007F010000}"/>
    <cellStyle name="표준 3 3 4 2 5 3" xfId="362" xr:uid="{00000000-0005-0000-0000-000080010000}"/>
    <cellStyle name="표준 3 3 4 2 5 3 2" xfId="363" xr:uid="{00000000-0005-0000-0000-000081010000}"/>
    <cellStyle name="표준 3 3 4 2 5 3 2 2" xfId="364" xr:uid="{00000000-0005-0000-0000-000082010000}"/>
    <cellStyle name="표준 3 3 4 2 5 3 3" xfId="365" xr:uid="{00000000-0005-0000-0000-000083010000}"/>
    <cellStyle name="표준 3 3 4 2 5 4" xfId="366" xr:uid="{00000000-0005-0000-0000-000084010000}"/>
    <cellStyle name="표준 3 3 4 2 5 4 2" xfId="367" xr:uid="{00000000-0005-0000-0000-000085010000}"/>
    <cellStyle name="표준 3 3 4 2 5 5" xfId="368" xr:uid="{00000000-0005-0000-0000-000086010000}"/>
    <cellStyle name="표준 3 3 4 2 6" xfId="369" xr:uid="{00000000-0005-0000-0000-000087010000}"/>
    <cellStyle name="표준 3 3 4 2 6 2" xfId="370" xr:uid="{00000000-0005-0000-0000-000088010000}"/>
    <cellStyle name="표준 3 3 4 2 6 2 2" xfId="371" xr:uid="{00000000-0005-0000-0000-000089010000}"/>
    <cellStyle name="표준 3 3 4 2 6 3" xfId="372" xr:uid="{00000000-0005-0000-0000-00008A010000}"/>
    <cellStyle name="표준 3 3 4 2 7" xfId="373" xr:uid="{00000000-0005-0000-0000-00008B010000}"/>
    <cellStyle name="표준 3 3 4 2 7 2" xfId="374" xr:uid="{00000000-0005-0000-0000-00008C010000}"/>
    <cellStyle name="표준 3 3 4 2 8" xfId="375" xr:uid="{00000000-0005-0000-0000-00008D010000}"/>
    <cellStyle name="표준 3 3 4 3" xfId="376" xr:uid="{00000000-0005-0000-0000-00008E010000}"/>
    <cellStyle name="표준 3 3 4 3 2" xfId="377" xr:uid="{00000000-0005-0000-0000-00008F010000}"/>
    <cellStyle name="표준 3 3 4 3 2 2" xfId="378" xr:uid="{00000000-0005-0000-0000-000090010000}"/>
    <cellStyle name="표준 3 3 4 3 2 2 2" xfId="379" xr:uid="{00000000-0005-0000-0000-000091010000}"/>
    <cellStyle name="표준 3 3 4 3 2 3" xfId="380" xr:uid="{00000000-0005-0000-0000-000092010000}"/>
    <cellStyle name="표준 3 3 4 3 3" xfId="381" xr:uid="{00000000-0005-0000-0000-000093010000}"/>
    <cellStyle name="표준 3 3 4 3 3 2" xfId="382" xr:uid="{00000000-0005-0000-0000-000094010000}"/>
    <cellStyle name="표준 3 3 4 3 4" xfId="383" xr:uid="{00000000-0005-0000-0000-000095010000}"/>
    <cellStyle name="표준 3 3 4 4" xfId="384" xr:uid="{00000000-0005-0000-0000-000096010000}"/>
    <cellStyle name="표준 3 3 4 4 2" xfId="385" xr:uid="{00000000-0005-0000-0000-000097010000}"/>
    <cellStyle name="표준 3 3 4 4 2 2" xfId="386" xr:uid="{00000000-0005-0000-0000-000098010000}"/>
    <cellStyle name="표준 3 3 4 4 2 2 2" xfId="387" xr:uid="{00000000-0005-0000-0000-000099010000}"/>
    <cellStyle name="표준 3 3 4 4 2 3" xfId="388" xr:uid="{00000000-0005-0000-0000-00009A010000}"/>
    <cellStyle name="표준 3 3 4 4 3" xfId="389" xr:uid="{00000000-0005-0000-0000-00009B010000}"/>
    <cellStyle name="표준 3 3 4 4 3 2" xfId="390" xr:uid="{00000000-0005-0000-0000-00009C010000}"/>
    <cellStyle name="표준 3 3 4 4 4" xfId="391" xr:uid="{00000000-0005-0000-0000-00009D010000}"/>
    <cellStyle name="표준 3 3 4 5" xfId="392" xr:uid="{00000000-0005-0000-0000-00009E010000}"/>
    <cellStyle name="표준 3 3 4 5 2" xfId="393" xr:uid="{00000000-0005-0000-0000-00009F010000}"/>
    <cellStyle name="표준 3 3 4 5 2 2" xfId="394" xr:uid="{00000000-0005-0000-0000-0000A0010000}"/>
    <cellStyle name="표준 3 3 4 5 3" xfId="395" xr:uid="{00000000-0005-0000-0000-0000A1010000}"/>
    <cellStyle name="표준 3 3 4 6" xfId="396" xr:uid="{00000000-0005-0000-0000-0000A2010000}"/>
    <cellStyle name="표준 3 3 4 6 2" xfId="397" xr:uid="{00000000-0005-0000-0000-0000A3010000}"/>
    <cellStyle name="표준 3 3 4 7" xfId="398" xr:uid="{00000000-0005-0000-0000-0000A4010000}"/>
    <cellStyle name="표준 3 3 5" xfId="399" xr:uid="{00000000-0005-0000-0000-0000A5010000}"/>
    <cellStyle name="표준 3 3 5 2" xfId="400" xr:uid="{00000000-0005-0000-0000-0000A6010000}"/>
    <cellStyle name="표준 3 3 5 2 2" xfId="401" xr:uid="{00000000-0005-0000-0000-0000A7010000}"/>
    <cellStyle name="표준 3 3 5 2 2 2" xfId="402" xr:uid="{00000000-0005-0000-0000-0000A8010000}"/>
    <cellStyle name="표준 3 3 5 2 3" xfId="403" xr:uid="{00000000-0005-0000-0000-0000A9010000}"/>
    <cellStyle name="표준 3 3 5 3" xfId="404" xr:uid="{00000000-0005-0000-0000-0000AA010000}"/>
    <cellStyle name="표준 3 3 5 3 2" xfId="405" xr:uid="{00000000-0005-0000-0000-0000AB010000}"/>
    <cellStyle name="표준 3 3 5 4" xfId="406" xr:uid="{00000000-0005-0000-0000-0000AC010000}"/>
    <cellStyle name="표준 3 3 6" xfId="407" xr:uid="{00000000-0005-0000-0000-0000AD010000}"/>
    <cellStyle name="표준 3 3 6 2" xfId="408" xr:uid="{00000000-0005-0000-0000-0000AE010000}"/>
    <cellStyle name="표준 3 3 6 2 2" xfId="409" xr:uid="{00000000-0005-0000-0000-0000AF010000}"/>
    <cellStyle name="표준 3 3 6 2 2 2" xfId="410" xr:uid="{00000000-0005-0000-0000-0000B0010000}"/>
    <cellStyle name="표준 3 3 6 2 3" xfId="411" xr:uid="{00000000-0005-0000-0000-0000B1010000}"/>
    <cellStyle name="표준 3 3 6 3" xfId="412" xr:uid="{00000000-0005-0000-0000-0000B2010000}"/>
    <cellStyle name="표준 3 3 6 3 2" xfId="413" xr:uid="{00000000-0005-0000-0000-0000B3010000}"/>
    <cellStyle name="표준 3 3 6 4" xfId="414" xr:uid="{00000000-0005-0000-0000-0000B4010000}"/>
    <cellStyle name="표준 3 3 7" xfId="415" xr:uid="{00000000-0005-0000-0000-0000B5010000}"/>
    <cellStyle name="표준 3 3 7 2" xfId="416" xr:uid="{00000000-0005-0000-0000-0000B6010000}"/>
    <cellStyle name="표준 3 3 7 2 2" xfId="417" xr:uid="{00000000-0005-0000-0000-0000B7010000}"/>
    <cellStyle name="표준 3 3 7 2 2 2" xfId="418" xr:uid="{00000000-0005-0000-0000-0000B8010000}"/>
    <cellStyle name="표준 3 3 7 2 3" xfId="419" xr:uid="{00000000-0005-0000-0000-0000B9010000}"/>
    <cellStyle name="표준 3 3 7 3" xfId="420" xr:uid="{00000000-0005-0000-0000-0000BA010000}"/>
    <cellStyle name="표준 3 3 7 3 2" xfId="421" xr:uid="{00000000-0005-0000-0000-0000BB010000}"/>
    <cellStyle name="표준 3 3 7 4" xfId="422" xr:uid="{00000000-0005-0000-0000-0000BC010000}"/>
    <cellStyle name="표준 3 3 8" xfId="423" xr:uid="{00000000-0005-0000-0000-0000BD010000}"/>
    <cellStyle name="표준 3 3 8 2" xfId="424" xr:uid="{00000000-0005-0000-0000-0000BE010000}"/>
    <cellStyle name="표준 3 3 8 2 2" xfId="425" xr:uid="{00000000-0005-0000-0000-0000BF010000}"/>
    <cellStyle name="표준 3 3 8 3" xfId="426" xr:uid="{00000000-0005-0000-0000-0000C0010000}"/>
    <cellStyle name="표준 3 3 9" xfId="427" xr:uid="{00000000-0005-0000-0000-0000C1010000}"/>
    <cellStyle name="표준 3 3 9 2" xfId="428" xr:uid="{00000000-0005-0000-0000-0000C2010000}"/>
    <cellStyle name="표준 3 4" xfId="429" xr:uid="{00000000-0005-0000-0000-0000C3010000}"/>
    <cellStyle name="표준 3 4 2" xfId="430" xr:uid="{00000000-0005-0000-0000-0000C4010000}"/>
    <cellStyle name="표준 3 4 2 2" xfId="431" xr:uid="{00000000-0005-0000-0000-0000C5010000}"/>
    <cellStyle name="표준 3 4 2 2 2" xfId="432" xr:uid="{00000000-0005-0000-0000-0000C6010000}"/>
    <cellStyle name="표준 3 4 2 2 2 2" xfId="433" xr:uid="{00000000-0005-0000-0000-0000C7010000}"/>
    <cellStyle name="표준 3 4 2 2 2 2 2" xfId="434" xr:uid="{00000000-0005-0000-0000-0000C8010000}"/>
    <cellStyle name="표준 3 4 2 2 2 3" xfId="435" xr:uid="{00000000-0005-0000-0000-0000C9010000}"/>
    <cellStyle name="표준 3 4 2 2 3" xfId="436" xr:uid="{00000000-0005-0000-0000-0000CA010000}"/>
    <cellStyle name="표준 3 4 2 2 3 2" xfId="437" xr:uid="{00000000-0005-0000-0000-0000CB010000}"/>
    <cellStyle name="표준 3 4 2 2 4" xfId="438" xr:uid="{00000000-0005-0000-0000-0000CC010000}"/>
    <cellStyle name="표준 3 4 2 3" xfId="439" xr:uid="{00000000-0005-0000-0000-0000CD010000}"/>
    <cellStyle name="표준 3 4 2 3 2" xfId="440" xr:uid="{00000000-0005-0000-0000-0000CE010000}"/>
    <cellStyle name="표준 3 4 2 3 2 2" xfId="441" xr:uid="{00000000-0005-0000-0000-0000CF010000}"/>
    <cellStyle name="표준 3 4 2 3 2 2 2" xfId="442" xr:uid="{00000000-0005-0000-0000-0000D0010000}"/>
    <cellStyle name="표준 3 4 2 3 2 3" xfId="443" xr:uid="{00000000-0005-0000-0000-0000D1010000}"/>
    <cellStyle name="표준 3 4 2 3 3" xfId="444" xr:uid="{00000000-0005-0000-0000-0000D2010000}"/>
    <cellStyle name="표준 3 4 2 3 3 2" xfId="445" xr:uid="{00000000-0005-0000-0000-0000D3010000}"/>
    <cellStyle name="표준 3 4 2 3 4" xfId="446" xr:uid="{00000000-0005-0000-0000-0000D4010000}"/>
    <cellStyle name="표준 3 4 2 4" xfId="447" xr:uid="{00000000-0005-0000-0000-0000D5010000}"/>
    <cellStyle name="표준 3 4 2 4 2" xfId="448" xr:uid="{00000000-0005-0000-0000-0000D6010000}"/>
    <cellStyle name="표준 3 4 2 4 2 2" xfId="449" xr:uid="{00000000-0005-0000-0000-0000D7010000}"/>
    <cellStyle name="표준 3 4 2 4 3" xfId="450" xr:uid="{00000000-0005-0000-0000-0000D8010000}"/>
    <cellStyle name="표준 3 4 2 5" xfId="451" xr:uid="{00000000-0005-0000-0000-0000D9010000}"/>
    <cellStyle name="표준 3 4 2 5 2" xfId="452" xr:uid="{00000000-0005-0000-0000-0000DA010000}"/>
    <cellStyle name="표준 3 4 2 6" xfId="453" xr:uid="{00000000-0005-0000-0000-0000DB010000}"/>
    <cellStyle name="표준 3 4 3" xfId="454" xr:uid="{00000000-0005-0000-0000-0000DC010000}"/>
    <cellStyle name="표준 3 4 3 2" xfId="455" xr:uid="{00000000-0005-0000-0000-0000DD010000}"/>
    <cellStyle name="표준 3 4 3 2 2" xfId="456" xr:uid="{00000000-0005-0000-0000-0000DE010000}"/>
    <cellStyle name="표준 3 4 3 3" xfId="457" xr:uid="{00000000-0005-0000-0000-0000DF010000}"/>
    <cellStyle name="표준 3 4 4" xfId="458" xr:uid="{00000000-0005-0000-0000-0000E0010000}"/>
    <cellStyle name="표준 3 4 4 2" xfId="459" xr:uid="{00000000-0005-0000-0000-0000E1010000}"/>
    <cellStyle name="표준 3 4 5" xfId="460" xr:uid="{00000000-0005-0000-0000-0000E2010000}"/>
    <cellStyle name="표준 3 5" xfId="461" xr:uid="{00000000-0005-0000-0000-0000E3010000}"/>
    <cellStyle name="표준 3 6" xfId="462" xr:uid="{00000000-0005-0000-0000-0000E4010000}"/>
    <cellStyle name="표준 3 6 2" xfId="463" xr:uid="{00000000-0005-0000-0000-0000E5010000}"/>
    <cellStyle name="표준 3 6 2 2" xfId="464" xr:uid="{00000000-0005-0000-0000-0000E6010000}"/>
    <cellStyle name="표준 3 6 2 2 2" xfId="465" xr:uid="{00000000-0005-0000-0000-0000E7010000}"/>
    <cellStyle name="표준 3 6 2 2 2 2" xfId="466" xr:uid="{00000000-0005-0000-0000-0000E8010000}"/>
    <cellStyle name="표준 3 6 2 2 3" xfId="467" xr:uid="{00000000-0005-0000-0000-0000E9010000}"/>
    <cellStyle name="표준 3 6 2 3" xfId="468" xr:uid="{00000000-0005-0000-0000-0000EA010000}"/>
    <cellStyle name="표준 3 6 2 3 2" xfId="469" xr:uid="{00000000-0005-0000-0000-0000EB010000}"/>
    <cellStyle name="표준 3 6 2 4" xfId="470" xr:uid="{00000000-0005-0000-0000-0000EC010000}"/>
    <cellStyle name="표준 3 6 3" xfId="471" xr:uid="{00000000-0005-0000-0000-0000ED010000}"/>
    <cellStyle name="표준 3 6 3 2" xfId="472" xr:uid="{00000000-0005-0000-0000-0000EE010000}"/>
    <cellStyle name="표준 3 6 3 2 2" xfId="473" xr:uid="{00000000-0005-0000-0000-0000EF010000}"/>
    <cellStyle name="표준 3 6 3 3" xfId="474" xr:uid="{00000000-0005-0000-0000-0000F0010000}"/>
    <cellStyle name="표준 3 6 4" xfId="475" xr:uid="{00000000-0005-0000-0000-0000F1010000}"/>
    <cellStyle name="표준 3 6 4 2" xfId="476" xr:uid="{00000000-0005-0000-0000-0000F2010000}"/>
    <cellStyle name="표준 3 6 5" xfId="477" xr:uid="{00000000-0005-0000-0000-0000F3010000}"/>
    <cellStyle name="표준 3 7" xfId="478" xr:uid="{00000000-0005-0000-0000-0000F4010000}"/>
    <cellStyle name="표준 3 7 2" xfId="479" xr:uid="{00000000-0005-0000-0000-0000F5010000}"/>
    <cellStyle name="표준 3 7 2 2" xfId="480" xr:uid="{00000000-0005-0000-0000-0000F6010000}"/>
    <cellStyle name="표준 3 7 3" xfId="481" xr:uid="{00000000-0005-0000-0000-0000F7010000}"/>
    <cellStyle name="표준 3 7 4" xfId="888" xr:uid="{00000000-0005-0000-0000-0000F8010000}"/>
    <cellStyle name="표준 3 7 5" xfId="889" xr:uid="{00000000-0005-0000-0000-0000F9010000}"/>
    <cellStyle name="표준 3 8" xfId="482" xr:uid="{00000000-0005-0000-0000-0000FA010000}"/>
    <cellStyle name="표준 3 8 2" xfId="483" xr:uid="{00000000-0005-0000-0000-0000FB010000}"/>
    <cellStyle name="표준 3 9" xfId="890" xr:uid="{00000000-0005-0000-0000-0000FC010000}"/>
    <cellStyle name="표준 3 9 2" xfId="891" xr:uid="{00000000-0005-0000-0000-0000FD010000}"/>
    <cellStyle name="표준 3 9 2 2" xfId="892" xr:uid="{00000000-0005-0000-0000-0000FE010000}"/>
    <cellStyle name="표준 3 9 3" xfId="893" xr:uid="{00000000-0005-0000-0000-0000FF010000}"/>
    <cellStyle name="표준 3 9 4" xfId="894" xr:uid="{00000000-0005-0000-0000-000000020000}"/>
    <cellStyle name="표준 4" xfId="484" xr:uid="{00000000-0005-0000-0000-000001020000}"/>
    <cellStyle name="표준 4 2" xfId="485" xr:uid="{00000000-0005-0000-0000-000002020000}"/>
    <cellStyle name="표준 4 3" xfId="486" xr:uid="{00000000-0005-0000-0000-000003020000}"/>
    <cellStyle name="표준 4 3 2" xfId="487" xr:uid="{00000000-0005-0000-0000-000004020000}"/>
    <cellStyle name="표준 4 3 2 2" xfId="488" xr:uid="{00000000-0005-0000-0000-000005020000}"/>
    <cellStyle name="표준 4 3 2 2 2" xfId="489" xr:uid="{00000000-0005-0000-0000-000006020000}"/>
    <cellStyle name="표준 4 3 2 3" xfId="490" xr:uid="{00000000-0005-0000-0000-000007020000}"/>
    <cellStyle name="표준 4 3 3" xfId="491" xr:uid="{00000000-0005-0000-0000-000008020000}"/>
    <cellStyle name="표준 4 3 3 2" xfId="492" xr:uid="{00000000-0005-0000-0000-000009020000}"/>
    <cellStyle name="표준 4 3 4" xfId="493" xr:uid="{00000000-0005-0000-0000-00000A020000}"/>
    <cellStyle name="표준 4 4" xfId="494" xr:uid="{00000000-0005-0000-0000-00000B020000}"/>
    <cellStyle name="표준 4 4 2" xfId="495" xr:uid="{00000000-0005-0000-0000-00000C020000}"/>
    <cellStyle name="표준 4 4 2 2" xfId="496" xr:uid="{00000000-0005-0000-0000-00000D020000}"/>
    <cellStyle name="표준 4 4 2 2 2" xfId="497" xr:uid="{00000000-0005-0000-0000-00000E020000}"/>
    <cellStyle name="표준 4 4 2 3" xfId="498" xr:uid="{00000000-0005-0000-0000-00000F020000}"/>
    <cellStyle name="표준 4 4 3" xfId="499" xr:uid="{00000000-0005-0000-0000-000010020000}"/>
    <cellStyle name="표준 4 4 3 2" xfId="500" xr:uid="{00000000-0005-0000-0000-000011020000}"/>
    <cellStyle name="표준 4 4 4" xfId="501" xr:uid="{00000000-0005-0000-0000-000012020000}"/>
    <cellStyle name="표준 4 5" xfId="502" xr:uid="{00000000-0005-0000-0000-000013020000}"/>
    <cellStyle name="표준 4 5 2" xfId="503" xr:uid="{00000000-0005-0000-0000-000014020000}"/>
    <cellStyle name="표준 4 5 2 2" xfId="504" xr:uid="{00000000-0005-0000-0000-000015020000}"/>
    <cellStyle name="표준 4 5 2 2 2" xfId="505" xr:uid="{00000000-0005-0000-0000-000016020000}"/>
    <cellStyle name="표준 4 5 2 3" xfId="506" xr:uid="{00000000-0005-0000-0000-000017020000}"/>
    <cellStyle name="표준 4 5 3" xfId="507" xr:uid="{00000000-0005-0000-0000-000018020000}"/>
    <cellStyle name="표준 4 5 3 2" xfId="508" xr:uid="{00000000-0005-0000-0000-000019020000}"/>
    <cellStyle name="표준 4 5 4" xfId="509" xr:uid="{00000000-0005-0000-0000-00001A020000}"/>
    <cellStyle name="표준 4 6" xfId="510" xr:uid="{00000000-0005-0000-0000-00001B020000}"/>
    <cellStyle name="표준 4 6 2" xfId="511" xr:uid="{00000000-0005-0000-0000-00001C020000}"/>
    <cellStyle name="표준 4 6 2 2" xfId="512" xr:uid="{00000000-0005-0000-0000-00001D020000}"/>
    <cellStyle name="표준 4 6 3" xfId="513" xr:uid="{00000000-0005-0000-0000-00001E020000}"/>
    <cellStyle name="표준 4 7" xfId="514" xr:uid="{00000000-0005-0000-0000-00001F020000}"/>
    <cellStyle name="표준 4 7 2" xfId="515" xr:uid="{00000000-0005-0000-0000-000020020000}"/>
    <cellStyle name="표준 4 8" xfId="516" xr:uid="{00000000-0005-0000-0000-000021020000}"/>
    <cellStyle name="표준 5" xfId="517" xr:uid="{00000000-0005-0000-0000-000022020000}"/>
    <cellStyle name="표준 5 2" xfId="518" xr:uid="{00000000-0005-0000-0000-000023020000}"/>
    <cellStyle name="표준 5 2 2" xfId="519" xr:uid="{00000000-0005-0000-0000-000024020000}"/>
    <cellStyle name="표준 5 2 2 2" xfId="520" xr:uid="{00000000-0005-0000-0000-000025020000}"/>
    <cellStyle name="표준 5 2 2 2 2" xfId="521" xr:uid="{00000000-0005-0000-0000-000026020000}"/>
    <cellStyle name="표준 5 2 2 3" xfId="522" xr:uid="{00000000-0005-0000-0000-000027020000}"/>
    <cellStyle name="표준 5 2 3" xfId="523" xr:uid="{00000000-0005-0000-0000-000028020000}"/>
    <cellStyle name="표준 5 2 3 2" xfId="524" xr:uid="{00000000-0005-0000-0000-000029020000}"/>
    <cellStyle name="표준 5 2 4" xfId="525" xr:uid="{00000000-0005-0000-0000-00002A020000}"/>
    <cellStyle name="표준 5 3" xfId="526" xr:uid="{00000000-0005-0000-0000-00002B020000}"/>
    <cellStyle name="표준 5 3 2" xfId="527" xr:uid="{00000000-0005-0000-0000-00002C020000}"/>
    <cellStyle name="표준 5 3 2 2" xfId="528" xr:uid="{00000000-0005-0000-0000-00002D020000}"/>
    <cellStyle name="표준 5 3 3" xfId="529" xr:uid="{00000000-0005-0000-0000-00002E020000}"/>
    <cellStyle name="표준 5 4" xfId="530" xr:uid="{00000000-0005-0000-0000-00002F020000}"/>
    <cellStyle name="표준 5 4 2" xfId="531" xr:uid="{00000000-0005-0000-0000-000030020000}"/>
    <cellStyle name="표준 5 4 2 2" xfId="532" xr:uid="{00000000-0005-0000-0000-000031020000}"/>
    <cellStyle name="표준 5 4 3" xfId="533" xr:uid="{00000000-0005-0000-0000-000032020000}"/>
    <cellStyle name="표준 5 5" xfId="534" xr:uid="{00000000-0005-0000-0000-000033020000}"/>
    <cellStyle name="표준 5 5 2" xfId="535" xr:uid="{00000000-0005-0000-0000-000034020000}"/>
    <cellStyle name="표준 5 6" xfId="536" xr:uid="{00000000-0005-0000-0000-000035020000}"/>
    <cellStyle name="표준 6" xfId="537" xr:uid="{00000000-0005-0000-0000-000036020000}"/>
    <cellStyle name="표준 6 10" xfId="538" xr:uid="{00000000-0005-0000-0000-000037020000}"/>
    <cellStyle name="표준 6 10 2" xfId="539" xr:uid="{00000000-0005-0000-0000-000038020000}"/>
    <cellStyle name="표준 6 10 2 2" xfId="540" xr:uid="{00000000-0005-0000-0000-000039020000}"/>
    <cellStyle name="표준 6 10 2 2 2" xfId="541" xr:uid="{00000000-0005-0000-0000-00003A020000}"/>
    <cellStyle name="표준 6 10 2 3" xfId="542" xr:uid="{00000000-0005-0000-0000-00003B020000}"/>
    <cellStyle name="표준 6 10 3" xfId="543" xr:uid="{00000000-0005-0000-0000-00003C020000}"/>
    <cellStyle name="표준 6 10 3 2" xfId="544" xr:uid="{00000000-0005-0000-0000-00003D020000}"/>
    <cellStyle name="표준 6 10 4" xfId="545" xr:uid="{00000000-0005-0000-0000-00003E020000}"/>
    <cellStyle name="표준 6 11" xfId="546" xr:uid="{00000000-0005-0000-0000-00003F020000}"/>
    <cellStyle name="표준 6 11 2" xfId="547" xr:uid="{00000000-0005-0000-0000-000040020000}"/>
    <cellStyle name="표준 6 11 2 2" xfId="548" xr:uid="{00000000-0005-0000-0000-000041020000}"/>
    <cellStyle name="표준 6 11 2 2 2" xfId="549" xr:uid="{00000000-0005-0000-0000-000042020000}"/>
    <cellStyle name="표준 6 11 2 3" xfId="550" xr:uid="{00000000-0005-0000-0000-000043020000}"/>
    <cellStyle name="표준 6 11 3" xfId="551" xr:uid="{00000000-0005-0000-0000-000044020000}"/>
    <cellStyle name="표준 6 11 3 2" xfId="552" xr:uid="{00000000-0005-0000-0000-000045020000}"/>
    <cellStyle name="표준 6 11 4" xfId="553" xr:uid="{00000000-0005-0000-0000-000046020000}"/>
    <cellStyle name="표준 6 11 5" xfId="895" xr:uid="{00000000-0005-0000-0000-000047020000}"/>
    <cellStyle name="표준 6 12" xfId="554" xr:uid="{00000000-0005-0000-0000-000048020000}"/>
    <cellStyle name="표준 6 12 2" xfId="555" xr:uid="{00000000-0005-0000-0000-000049020000}"/>
    <cellStyle name="표준 6 12 2 2" xfId="556" xr:uid="{00000000-0005-0000-0000-00004A020000}"/>
    <cellStyle name="표준 6 12 3" xfId="557" xr:uid="{00000000-0005-0000-0000-00004B020000}"/>
    <cellStyle name="표준 6 12 3 2" xfId="558" xr:uid="{00000000-0005-0000-0000-00004C020000}"/>
    <cellStyle name="표준 6 12 3 3" xfId="559" xr:uid="{00000000-0005-0000-0000-00004D020000}"/>
    <cellStyle name="표준 6 12 3 4" xfId="896" xr:uid="{00000000-0005-0000-0000-00004E020000}"/>
    <cellStyle name="표준 6 12 3 5" xfId="897" xr:uid="{00000000-0005-0000-0000-00004F020000}"/>
    <cellStyle name="표준 6 12 4" xfId="560" xr:uid="{00000000-0005-0000-0000-000050020000}"/>
    <cellStyle name="표준 6 13" xfId="561" xr:uid="{00000000-0005-0000-0000-000051020000}"/>
    <cellStyle name="표준 6 13 2" xfId="562" xr:uid="{00000000-0005-0000-0000-000052020000}"/>
    <cellStyle name="표준 6 14" xfId="563" xr:uid="{00000000-0005-0000-0000-000053020000}"/>
    <cellStyle name="표준 6 15" xfId="564" xr:uid="{00000000-0005-0000-0000-000054020000}"/>
    <cellStyle name="표준 6 16" xfId="898" xr:uid="{00000000-0005-0000-0000-000055020000}"/>
    <cellStyle name="표준 6 2" xfId="565" xr:uid="{00000000-0005-0000-0000-000056020000}"/>
    <cellStyle name="표준 6 2 2" xfId="566" xr:uid="{00000000-0005-0000-0000-000057020000}"/>
    <cellStyle name="표준 6 2 2 2" xfId="567" xr:uid="{00000000-0005-0000-0000-000058020000}"/>
    <cellStyle name="표준 6 2 2 2 2" xfId="568" xr:uid="{00000000-0005-0000-0000-000059020000}"/>
    <cellStyle name="표준 6 2 2 2 2 2" xfId="569" xr:uid="{00000000-0005-0000-0000-00005A020000}"/>
    <cellStyle name="표준 6 2 2 2 2 2 2" xfId="570" xr:uid="{00000000-0005-0000-0000-00005B020000}"/>
    <cellStyle name="표준 6 2 2 2 2 2 2 2" xfId="571" xr:uid="{00000000-0005-0000-0000-00005C020000}"/>
    <cellStyle name="표준 6 2 2 2 2 2 2 2 2" xfId="572" xr:uid="{00000000-0005-0000-0000-00005D020000}"/>
    <cellStyle name="표준 6 2 2 2 2 2 2 3" xfId="573" xr:uid="{00000000-0005-0000-0000-00005E020000}"/>
    <cellStyle name="표준 6 2 2 2 2 2 3" xfId="574" xr:uid="{00000000-0005-0000-0000-00005F020000}"/>
    <cellStyle name="표준 6 2 2 2 2 2 3 2" xfId="575" xr:uid="{00000000-0005-0000-0000-000060020000}"/>
    <cellStyle name="표준 6 2 2 2 2 2 4" xfId="576" xr:uid="{00000000-0005-0000-0000-000061020000}"/>
    <cellStyle name="표준 6 2 2 2 2 3" xfId="577" xr:uid="{00000000-0005-0000-0000-000062020000}"/>
    <cellStyle name="표준 6 2 2 2 2 3 2" xfId="578" xr:uid="{00000000-0005-0000-0000-000063020000}"/>
    <cellStyle name="표준 6 2 2 2 2 3 2 2" xfId="579" xr:uid="{00000000-0005-0000-0000-000064020000}"/>
    <cellStyle name="표준 6 2 2 2 2 3 3" xfId="580" xr:uid="{00000000-0005-0000-0000-000065020000}"/>
    <cellStyle name="표준 6 2 2 2 2 4" xfId="581" xr:uid="{00000000-0005-0000-0000-000066020000}"/>
    <cellStyle name="표준 6 2 2 2 2 4 2" xfId="582" xr:uid="{00000000-0005-0000-0000-000067020000}"/>
    <cellStyle name="표준 6 2 2 2 2 5" xfId="583" xr:uid="{00000000-0005-0000-0000-000068020000}"/>
    <cellStyle name="표준 6 2 2 2 3" xfId="584" xr:uid="{00000000-0005-0000-0000-000069020000}"/>
    <cellStyle name="표준 6 2 2 2 3 2" xfId="585" xr:uid="{00000000-0005-0000-0000-00006A020000}"/>
    <cellStyle name="표준 6 2 2 2 3 2 2" xfId="586" xr:uid="{00000000-0005-0000-0000-00006B020000}"/>
    <cellStyle name="표준 6 2 2 2 3 3" xfId="587" xr:uid="{00000000-0005-0000-0000-00006C020000}"/>
    <cellStyle name="표준 6 2 2 2 4" xfId="588" xr:uid="{00000000-0005-0000-0000-00006D020000}"/>
    <cellStyle name="표준 6 2 2 2 4 2" xfId="589" xr:uid="{00000000-0005-0000-0000-00006E020000}"/>
    <cellStyle name="표준 6 2 2 2 4 2 2" xfId="590" xr:uid="{00000000-0005-0000-0000-00006F020000}"/>
    <cellStyle name="표준 6 2 2 2 4 3" xfId="591" xr:uid="{00000000-0005-0000-0000-000070020000}"/>
    <cellStyle name="표준 6 2 2 2 5" xfId="592" xr:uid="{00000000-0005-0000-0000-000071020000}"/>
    <cellStyle name="표준 6 2 2 2 5 2" xfId="593" xr:uid="{00000000-0005-0000-0000-000072020000}"/>
    <cellStyle name="표준 6 2 2 2 6" xfId="594" xr:uid="{00000000-0005-0000-0000-000073020000}"/>
    <cellStyle name="표준 6 2 2 3" xfId="595" xr:uid="{00000000-0005-0000-0000-000074020000}"/>
    <cellStyle name="표준 6 2 2 3 2" xfId="596" xr:uid="{00000000-0005-0000-0000-000075020000}"/>
    <cellStyle name="표준 6 2 2 3 2 2" xfId="597" xr:uid="{00000000-0005-0000-0000-000076020000}"/>
    <cellStyle name="표준 6 2 2 3 2 2 2" xfId="598" xr:uid="{00000000-0005-0000-0000-000077020000}"/>
    <cellStyle name="표준 6 2 2 3 2 3" xfId="599" xr:uid="{00000000-0005-0000-0000-000078020000}"/>
    <cellStyle name="표준 6 2 2 3 3" xfId="600" xr:uid="{00000000-0005-0000-0000-000079020000}"/>
    <cellStyle name="표준 6 2 2 3 3 2" xfId="601" xr:uid="{00000000-0005-0000-0000-00007A020000}"/>
    <cellStyle name="표준 6 2 2 3 3 2 2" xfId="602" xr:uid="{00000000-0005-0000-0000-00007B020000}"/>
    <cellStyle name="표준 6 2 2 3 3 3" xfId="603" xr:uid="{00000000-0005-0000-0000-00007C020000}"/>
    <cellStyle name="표준 6 2 2 3 4" xfId="604" xr:uid="{00000000-0005-0000-0000-00007D020000}"/>
    <cellStyle name="표준 6 2 2 3 4 2" xfId="605" xr:uid="{00000000-0005-0000-0000-00007E020000}"/>
    <cellStyle name="표준 6 2 2 3 5" xfId="606" xr:uid="{00000000-0005-0000-0000-00007F020000}"/>
    <cellStyle name="표준 6 2 2 4" xfId="607" xr:uid="{00000000-0005-0000-0000-000080020000}"/>
    <cellStyle name="표준 6 2 2 4 2" xfId="608" xr:uid="{00000000-0005-0000-0000-000081020000}"/>
    <cellStyle name="표준 6 2 2 4 2 2" xfId="609" xr:uid="{00000000-0005-0000-0000-000082020000}"/>
    <cellStyle name="표준 6 2 2 4 3" xfId="610" xr:uid="{00000000-0005-0000-0000-000083020000}"/>
    <cellStyle name="표준 6 2 2 5" xfId="611" xr:uid="{00000000-0005-0000-0000-000084020000}"/>
    <cellStyle name="표준 6 2 2 5 2" xfId="612" xr:uid="{00000000-0005-0000-0000-000085020000}"/>
    <cellStyle name="표준 6 2 2 5 2 2" xfId="613" xr:uid="{00000000-0005-0000-0000-000086020000}"/>
    <cellStyle name="표준 6 2 2 5 3" xfId="614" xr:uid="{00000000-0005-0000-0000-000087020000}"/>
    <cellStyle name="표준 6 2 2 6" xfId="615" xr:uid="{00000000-0005-0000-0000-000088020000}"/>
    <cellStyle name="표준 6 2 2 6 2" xfId="616" xr:uid="{00000000-0005-0000-0000-000089020000}"/>
    <cellStyle name="표준 6 2 2 7" xfId="617" xr:uid="{00000000-0005-0000-0000-00008A020000}"/>
    <cellStyle name="표준 6 2 3" xfId="618" xr:uid="{00000000-0005-0000-0000-00008B020000}"/>
    <cellStyle name="표준 6 2 3 2" xfId="619" xr:uid="{00000000-0005-0000-0000-00008C020000}"/>
    <cellStyle name="표준 6 2 3 2 2" xfId="620" xr:uid="{00000000-0005-0000-0000-00008D020000}"/>
    <cellStyle name="표준 6 2 3 3" xfId="621" xr:uid="{00000000-0005-0000-0000-00008E020000}"/>
    <cellStyle name="표준 6 2 4" xfId="622" xr:uid="{00000000-0005-0000-0000-00008F020000}"/>
    <cellStyle name="표준 6 2 4 2" xfId="623" xr:uid="{00000000-0005-0000-0000-000090020000}"/>
    <cellStyle name="표준 6 2 4 2 2" xfId="624" xr:uid="{00000000-0005-0000-0000-000091020000}"/>
    <cellStyle name="표준 6 2 4 3" xfId="625" xr:uid="{00000000-0005-0000-0000-000092020000}"/>
    <cellStyle name="표준 6 2 5" xfId="626" xr:uid="{00000000-0005-0000-0000-000093020000}"/>
    <cellStyle name="표준 6 2 5 2" xfId="627" xr:uid="{00000000-0005-0000-0000-000094020000}"/>
    <cellStyle name="표준 6 2 6" xfId="628" xr:uid="{00000000-0005-0000-0000-000095020000}"/>
    <cellStyle name="표준 6 3" xfId="629" xr:uid="{00000000-0005-0000-0000-000096020000}"/>
    <cellStyle name="표준 6 3 2" xfId="630" xr:uid="{00000000-0005-0000-0000-000097020000}"/>
    <cellStyle name="표준 6 3 2 2" xfId="631" xr:uid="{00000000-0005-0000-0000-000098020000}"/>
    <cellStyle name="표준 6 3 2 2 2" xfId="632" xr:uid="{00000000-0005-0000-0000-000099020000}"/>
    <cellStyle name="표준 6 3 2 2 2 2" xfId="633" xr:uid="{00000000-0005-0000-0000-00009A020000}"/>
    <cellStyle name="표준 6 3 2 2 2 2 2" xfId="634" xr:uid="{00000000-0005-0000-0000-00009B020000}"/>
    <cellStyle name="표준 6 3 2 2 2 3" xfId="635" xr:uid="{00000000-0005-0000-0000-00009C020000}"/>
    <cellStyle name="표준 6 3 2 2 3" xfId="636" xr:uid="{00000000-0005-0000-0000-00009D020000}"/>
    <cellStyle name="표준 6 3 2 2 3 2" xfId="637" xr:uid="{00000000-0005-0000-0000-00009E020000}"/>
    <cellStyle name="표준 6 3 2 2 4" xfId="638" xr:uid="{00000000-0005-0000-0000-00009F020000}"/>
    <cellStyle name="표준 6 3 2 3" xfId="639" xr:uid="{00000000-0005-0000-0000-0000A0020000}"/>
    <cellStyle name="표준 6 3 2 3 2" xfId="640" xr:uid="{00000000-0005-0000-0000-0000A1020000}"/>
    <cellStyle name="표준 6 3 2 3 2 2" xfId="641" xr:uid="{00000000-0005-0000-0000-0000A2020000}"/>
    <cellStyle name="표준 6 3 2 3 2 2 2" xfId="642" xr:uid="{00000000-0005-0000-0000-0000A3020000}"/>
    <cellStyle name="표준 6 3 2 3 2 3" xfId="643" xr:uid="{00000000-0005-0000-0000-0000A4020000}"/>
    <cellStyle name="표준 6 3 2 3 3" xfId="644" xr:uid="{00000000-0005-0000-0000-0000A5020000}"/>
    <cellStyle name="표준 6 3 2 3 3 2" xfId="645" xr:uid="{00000000-0005-0000-0000-0000A6020000}"/>
    <cellStyle name="표준 6 3 2 3 4" xfId="646" xr:uid="{00000000-0005-0000-0000-0000A7020000}"/>
    <cellStyle name="표준 6 3 2 4" xfId="647" xr:uid="{00000000-0005-0000-0000-0000A8020000}"/>
    <cellStyle name="표준 6 3 2 4 2" xfId="648" xr:uid="{00000000-0005-0000-0000-0000A9020000}"/>
    <cellStyle name="표준 6 3 2 4 2 2" xfId="649" xr:uid="{00000000-0005-0000-0000-0000AA020000}"/>
    <cellStyle name="표준 6 3 2 4 3" xfId="650" xr:uid="{00000000-0005-0000-0000-0000AB020000}"/>
    <cellStyle name="표준 6 3 2 5" xfId="651" xr:uid="{00000000-0005-0000-0000-0000AC020000}"/>
    <cellStyle name="표준 6 3 2 5 2" xfId="652" xr:uid="{00000000-0005-0000-0000-0000AD020000}"/>
    <cellStyle name="표준 6 3 2 6" xfId="653" xr:uid="{00000000-0005-0000-0000-0000AE020000}"/>
    <cellStyle name="표준 6 3 3" xfId="654" xr:uid="{00000000-0005-0000-0000-0000AF020000}"/>
    <cellStyle name="표준 6 3 3 2" xfId="655" xr:uid="{00000000-0005-0000-0000-0000B0020000}"/>
    <cellStyle name="표준 6 3 3 2 2" xfId="656" xr:uid="{00000000-0005-0000-0000-0000B1020000}"/>
    <cellStyle name="표준 6 3 3 3" xfId="657" xr:uid="{00000000-0005-0000-0000-0000B2020000}"/>
    <cellStyle name="표준 6 3 4" xfId="658" xr:uid="{00000000-0005-0000-0000-0000B3020000}"/>
    <cellStyle name="표준 6 3 4 2" xfId="659" xr:uid="{00000000-0005-0000-0000-0000B4020000}"/>
    <cellStyle name="표준 6 3 4 2 2" xfId="660" xr:uid="{00000000-0005-0000-0000-0000B5020000}"/>
    <cellStyle name="표준 6 3 4 3" xfId="661" xr:uid="{00000000-0005-0000-0000-0000B6020000}"/>
    <cellStyle name="표준 6 3 5" xfId="662" xr:uid="{00000000-0005-0000-0000-0000B7020000}"/>
    <cellStyle name="표준 6 3 5 2" xfId="663" xr:uid="{00000000-0005-0000-0000-0000B8020000}"/>
    <cellStyle name="표준 6 3 5 2 2" xfId="664" xr:uid="{00000000-0005-0000-0000-0000B9020000}"/>
    <cellStyle name="표준 6 3 5 3" xfId="665" xr:uid="{00000000-0005-0000-0000-0000BA020000}"/>
    <cellStyle name="표준 6 3 6" xfId="666" xr:uid="{00000000-0005-0000-0000-0000BB020000}"/>
    <cellStyle name="표준 6 3 6 2" xfId="667" xr:uid="{00000000-0005-0000-0000-0000BC020000}"/>
    <cellStyle name="표준 6 3 7" xfId="668" xr:uid="{00000000-0005-0000-0000-0000BD020000}"/>
    <cellStyle name="표준 6 4" xfId="669" xr:uid="{00000000-0005-0000-0000-0000BE020000}"/>
    <cellStyle name="표준 6 4 2" xfId="670" xr:uid="{00000000-0005-0000-0000-0000BF020000}"/>
    <cellStyle name="표준 6 4 2 2" xfId="671" xr:uid="{00000000-0005-0000-0000-0000C0020000}"/>
    <cellStyle name="표준 6 4 2 2 2" xfId="672" xr:uid="{00000000-0005-0000-0000-0000C1020000}"/>
    <cellStyle name="표준 6 4 2 2 2 2" xfId="673" xr:uid="{00000000-0005-0000-0000-0000C2020000}"/>
    <cellStyle name="표준 6 4 2 2 3" xfId="674" xr:uid="{00000000-0005-0000-0000-0000C3020000}"/>
    <cellStyle name="표준 6 4 2 3" xfId="675" xr:uid="{00000000-0005-0000-0000-0000C4020000}"/>
    <cellStyle name="표준 6 4 2 3 2" xfId="676" xr:uid="{00000000-0005-0000-0000-0000C5020000}"/>
    <cellStyle name="표준 6 4 2 4" xfId="677" xr:uid="{00000000-0005-0000-0000-0000C6020000}"/>
    <cellStyle name="표준 6 4 3" xfId="678" xr:uid="{00000000-0005-0000-0000-0000C7020000}"/>
    <cellStyle name="표준 6 4 3 2" xfId="679" xr:uid="{00000000-0005-0000-0000-0000C8020000}"/>
    <cellStyle name="표준 6 4 3 2 2" xfId="680" xr:uid="{00000000-0005-0000-0000-0000C9020000}"/>
    <cellStyle name="표준 6 4 3 2 2 2" xfId="681" xr:uid="{00000000-0005-0000-0000-0000CA020000}"/>
    <cellStyle name="표준 6 4 3 2 3" xfId="682" xr:uid="{00000000-0005-0000-0000-0000CB020000}"/>
    <cellStyle name="표준 6 4 3 3" xfId="683" xr:uid="{00000000-0005-0000-0000-0000CC020000}"/>
    <cellStyle name="표준 6 4 3 3 2" xfId="684" xr:uid="{00000000-0005-0000-0000-0000CD020000}"/>
    <cellStyle name="표준 6 4 3 4" xfId="685" xr:uid="{00000000-0005-0000-0000-0000CE020000}"/>
    <cellStyle name="표준 6 4 4" xfId="686" xr:uid="{00000000-0005-0000-0000-0000CF020000}"/>
    <cellStyle name="표준 6 4 4 2" xfId="687" xr:uid="{00000000-0005-0000-0000-0000D0020000}"/>
    <cellStyle name="표준 6 4 4 2 2" xfId="688" xr:uid="{00000000-0005-0000-0000-0000D1020000}"/>
    <cellStyle name="표준 6 4 4 3" xfId="689" xr:uid="{00000000-0005-0000-0000-0000D2020000}"/>
    <cellStyle name="표준 6 4 5" xfId="690" xr:uid="{00000000-0005-0000-0000-0000D3020000}"/>
    <cellStyle name="표준 6 4 5 2" xfId="691" xr:uid="{00000000-0005-0000-0000-0000D4020000}"/>
    <cellStyle name="표준 6 4 6" xfId="692" xr:uid="{00000000-0005-0000-0000-0000D5020000}"/>
    <cellStyle name="표준 6 5" xfId="693" xr:uid="{00000000-0005-0000-0000-0000D6020000}"/>
    <cellStyle name="표준 6 5 2" xfId="694" xr:uid="{00000000-0005-0000-0000-0000D7020000}"/>
    <cellStyle name="표준 6 5 2 2" xfId="695" xr:uid="{00000000-0005-0000-0000-0000D8020000}"/>
    <cellStyle name="표준 6 5 2 2 2" xfId="696" xr:uid="{00000000-0005-0000-0000-0000D9020000}"/>
    <cellStyle name="표준 6 5 2 2 2 2" xfId="697" xr:uid="{00000000-0005-0000-0000-0000DA020000}"/>
    <cellStyle name="표준 6 5 2 2 2 2 2" xfId="698" xr:uid="{00000000-0005-0000-0000-0000DB020000}"/>
    <cellStyle name="표준 6 5 2 2 2 2 2 2" xfId="699" xr:uid="{00000000-0005-0000-0000-0000DC020000}"/>
    <cellStyle name="표준 6 5 2 2 2 2 3" xfId="700" xr:uid="{00000000-0005-0000-0000-0000DD020000}"/>
    <cellStyle name="표준 6 5 2 2 2 3" xfId="701" xr:uid="{00000000-0005-0000-0000-0000DE020000}"/>
    <cellStyle name="표준 6 5 2 2 2 3 2" xfId="702" xr:uid="{00000000-0005-0000-0000-0000DF020000}"/>
    <cellStyle name="표준 6 5 2 2 2 4" xfId="703" xr:uid="{00000000-0005-0000-0000-0000E0020000}"/>
    <cellStyle name="표준 6 5 2 2 3" xfId="704" xr:uid="{00000000-0005-0000-0000-0000E1020000}"/>
    <cellStyle name="표준 6 5 2 2 3 2" xfId="705" xr:uid="{00000000-0005-0000-0000-0000E2020000}"/>
    <cellStyle name="표준 6 5 2 2 3 2 2" xfId="706" xr:uid="{00000000-0005-0000-0000-0000E3020000}"/>
    <cellStyle name="표준 6 5 2 2 3 3" xfId="707" xr:uid="{00000000-0005-0000-0000-0000E4020000}"/>
    <cellStyle name="표준 6 5 2 2 4" xfId="708" xr:uid="{00000000-0005-0000-0000-0000E5020000}"/>
    <cellStyle name="표준 6 5 2 2 4 2" xfId="709" xr:uid="{00000000-0005-0000-0000-0000E6020000}"/>
    <cellStyle name="표준 6 5 2 2 5" xfId="710" xr:uid="{00000000-0005-0000-0000-0000E7020000}"/>
    <cellStyle name="표준 6 5 2 3" xfId="711" xr:uid="{00000000-0005-0000-0000-0000E8020000}"/>
    <cellStyle name="표준 6 5 2 3 2" xfId="712" xr:uid="{00000000-0005-0000-0000-0000E9020000}"/>
    <cellStyle name="표준 6 5 2 3 2 2" xfId="713" xr:uid="{00000000-0005-0000-0000-0000EA020000}"/>
    <cellStyle name="표준 6 5 2 3 2 2 2" xfId="714" xr:uid="{00000000-0005-0000-0000-0000EB020000}"/>
    <cellStyle name="표준 6 5 2 3 2 3" xfId="715" xr:uid="{00000000-0005-0000-0000-0000EC020000}"/>
    <cellStyle name="표준 6 5 2 3 3" xfId="716" xr:uid="{00000000-0005-0000-0000-0000ED020000}"/>
    <cellStyle name="표준 6 5 2 3 3 2" xfId="717" xr:uid="{00000000-0005-0000-0000-0000EE020000}"/>
    <cellStyle name="표준 6 5 2 3 4" xfId="718" xr:uid="{00000000-0005-0000-0000-0000EF020000}"/>
    <cellStyle name="표준 6 5 2 4" xfId="719" xr:uid="{00000000-0005-0000-0000-0000F0020000}"/>
    <cellStyle name="표준 6 5 2 4 2" xfId="720" xr:uid="{00000000-0005-0000-0000-0000F1020000}"/>
    <cellStyle name="표준 6 5 2 4 2 2" xfId="721" xr:uid="{00000000-0005-0000-0000-0000F2020000}"/>
    <cellStyle name="표준 6 5 2 4 2 2 2" xfId="722" xr:uid="{00000000-0005-0000-0000-0000F3020000}"/>
    <cellStyle name="표준 6 5 2 4 2 3" xfId="723" xr:uid="{00000000-0005-0000-0000-0000F4020000}"/>
    <cellStyle name="표준 6 5 2 4 3" xfId="724" xr:uid="{00000000-0005-0000-0000-0000F5020000}"/>
    <cellStyle name="표준 6 5 2 4 3 2" xfId="725" xr:uid="{00000000-0005-0000-0000-0000F6020000}"/>
    <cellStyle name="표준 6 5 2 4 4" xfId="726" xr:uid="{00000000-0005-0000-0000-0000F7020000}"/>
    <cellStyle name="표준 6 5 2 5" xfId="727" xr:uid="{00000000-0005-0000-0000-0000F8020000}"/>
    <cellStyle name="표준 6 5 2 5 2" xfId="728" xr:uid="{00000000-0005-0000-0000-0000F9020000}"/>
    <cellStyle name="표준 6 5 2 5 2 2" xfId="729" xr:uid="{00000000-0005-0000-0000-0000FA020000}"/>
    <cellStyle name="표준 6 5 2 5 2 2 2" xfId="730" xr:uid="{00000000-0005-0000-0000-0000FB020000}"/>
    <cellStyle name="표준 6 5 2 5 2 3" xfId="731" xr:uid="{00000000-0005-0000-0000-0000FC020000}"/>
    <cellStyle name="표준 6 5 2 5 3" xfId="732" xr:uid="{00000000-0005-0000-0000-0000FD020000}"/>
    <cellStyle name="표준 6 5 2 5 3 2" xfId="733" xr:uid="{00000000-0005-0000-0000-0000FE020000}"/>
    <cellStyle name="표준 6 5 2 5 4" xfId="734" xr:uid="{00000000-0005-0000-0000-0000FF020000}"/>
    <cellStyle name="표준 6 5 2 6" xfId="735" xr:uid="{00000000-0005-0000-0000-000000030000}"/>
    <cellStyle name="표준 6 5 2 6 2" xfId="736" xr:uid="{00000000-0005-0000-0000-000001030000}"/>
    <cellStyle name="표준 6 5 2 6 2 2" xfId="737" xr:uid="{00000000-0005-0000-0000-000002030000}"/>
    <cellStyle name="표준 6 5 2 6 3" xfId="738" xr:uid="{00000000-0005-0000-0000-000003030000}"/>
    <cellStyle name="표준 6 5 2 7" xfId="739" xr:uid="{00000000-0005-0000-0000-000004030000}"/>
    <cellStyle name="표준 6 5 2 7 2" xfId="740" xr:uid="{00000000-0005-0000-0000-000005030000}"/>
    <cellStyle name="표준 6 5 2 8" xfId="741" xr:uid="{00000000-0005-0000-0000-000006030000}"/>
    <cellStyle name="표준 6 5 3" xfId="742" xr:uid="{00000000-0005-0000-0000-000007030000}"/>
    <cellStyle name="표준 6 5 3 2" xfId="743" xr:uid="{00000000-0005-0000-0000-000008030000}"/>
    <cellStyle name="표준 6 5 3 2 2" xfId="744" xr:uid="{00000000-0005-0000-0000-000009030000}"/>
    <cellStyle name="표준 6 5 3 2 2 2" xfId="745" xr:uid="{00000000-0005-0000-0000-00000A030000}"/>
    <cellStyle name="표준 6 5 3 2 3" xfId="746" xr:uid="{00000000-0005-0000-0000-00000B030000}"/>
    <cellStyle name="표준 6 5 3 3" xfId="747" xr:uid="{00000000-0005-0000-0000-00000C030000}"/>
    <cellStyle name="표준 6 5 3 3 2" xfId="748" xr:uid="{00000000-0005-0000-0000-00000D030000}"/>
    <cellStyle name="표준 6 5 3 4" xfId="749" xr:uid="{00000000-0005-0000-0000-00000E030000}"/>
    <cellStyle name="표준 6 5 4" xfId="750" xr:uid="{00000000-0005-0000-0000-00000F030000}"/>
    <cellStyle name="표준 6 5 4 2" xfId="751" xr:uid="{00000000-0005-0000-0000-000010030000}"/>
    <cellStyle name="표준 6 5 4 2 2" xfId="752" xr:uid="{00000000-0005-0000-0000-000011030000}"/>
    <cellStyle name="표준 6 5 4 2 2 2" xfId="753" xr:uid="{00000000-0005-0000-0000-000012030000}"/>
    <cellStyle name="표준 6 5 4 2 3" xfId="754" xr:uid="{00000000-0005-0000-0000-000013030000}"/>
    <cellStyle name="표준 6 5 4 3" xfId="755" xr:uid="{00000000-0005-0000-0000-000014030000}"/>
    <cellStyle name="표준 6 5 4 3 2" xfId="756" xr:uid="{00000000-0005-0000-0000-000015030000}"/>
    <cellStyle name="표준 6 5 4 4" xfId="757" xr:uid="{00000000-0005-0000-0000-000016030000}"/>
    <cellStyle name="표준 6 5 5" xfId="758" xr:uid="{00000000-0005-0000-0000-000017030000}"/>
    <cellStyle name="표준 6 5 5 2" xfId="759" xr:uid="{00000000-0005-0000-0000-000018030000}"/>
    <cellStyle name="표준 6 5 5 2 2" xfId="760" xr:uid="{00000000-0005-0000-0000-000019030000}"/>
    <cellStyle name="표준 6 5 5 3" xfId="761" xr:uid="{00000000-0005-0000-0000-00001A030000}"/>
    <cellStyle name="표준 6 5 6" xfId="762" xr:uid="{00000000-0005-0000-0000-00001B030000}"/>
    <cellStyle name="표준 6 5 6 2" xfId="763" xr:uid="{00000000-0005-0000-0000-00001C030000}"/>
    <cellStyle name="표준 6 5 7" xfId="764" xr:uid="{00000000-0005-0000-0000-00001D030000}"/>
    <cellStyle name="표준 6 6" xfId="765" xr:uid="{00000000-0005-0000-0000-00001E030000}"/>
    <cellStyle name="표준 6 6 2" xfId="766" xr:uid="{00000000-0005-0000-0000-00001F030000}"/>
    <cellStyle name="표준 6 6 2 2" xfId="767" xr:uid="{00000000-0005-0000-0000-000020030000}"/>
    <cellStyle name="표준 6 6 2 2 2" xfId="768" xr:uid="{00000000-0005-0000-0000-000021030000}"/>
    <cellStyle name="표준 6 6 2 3" xfId="769" xr:uid="{00000000-0005-0000-0000-000022030000}"/>
    <cellStyle name="표준 6 6 3" xfId="770" xr:uid="{00000000-0005-0000-0000-000023030000}"/>
    <cellStyle name="표준 6 6 3 2" xfId="771" xr:uid="{00000000-0005-0000-0000-000024030000}"/>
    <cellStyle name="표준 6 6 4" xfId="772" xr:uid="{00000000-0005-0000-0000-000025030000}"/>
    <cellStyle name="표준 6 7" xfId="773" xr:uid="{00000000-0005-0000-0000-000026030000}"/>
    <cellStyle name="표준 6 7 2" xfId="774" xr:uid="{00000000-0005-0000-0000-000027030000}"/>
    <cellStyle name="표준 6 7 2 2" xfId="775" xr:uid="{00000000-0005-0000-0000-000028030000}"/>
    <cellStyle name="표준 6 7 2 2 2" xfId="776" xr:uid="{00000000-0005-0000-0000-000029030000}"/>
    <cellStyle name="표준 6 7 2 3" xfId="777" xr:uid="{00000000-0005-0000-0000-00002A030000}"/>
    <cellStyle name="표준 6 7 3" xfId="778" xr:uid="{00000000-0005-0000-0000-00002B030000}"/>
    <cellStyle name="표준 6 7 3 2" xfId="779" xr:uid="{00000000-0005-0000-0000-00002C030000}"/>
    <cellStyle name="표준 6 7 4" xfId="780" xr:uid="{00000000-0005-0000-0000-00002D030000}"/>
    <cellStyle name="표준 6 7 5" xfId="899" xr:uid="{00000000-0005-0000-0000-00002E030000}"/>
    <cellStyle name="표준 6 8" xfId="781" xr:uid="{00000000-0005-0000-0000-00002F030000}"/>
    <cellStyle name="표준 6 8 2" xfId="782" xr:uid="{00000000-0005-0000-0000-000030030000}"/>
    <cellStyle name="표준 6 8 2 2" xfId="783" xr:uid="{00000000-0005-0000-0000-000031030000}"/>
    <cellStyle name="표준 6 8 2 2 2" xfId="784" xr:uid="{00000000-0005-0000-0000-000032030000}"/>
    <cellStyle name="표준 6 8 2 3" xfId="785" xr:uid="{00000000-0005-0000-0000-000033030000}"/>
    <cellStyle name="표준 6 8 3" xfId="786" xr:uid="{00000000-0005-0000-0000-000034030000}"/>
    <cellStyle name="표준 6 8 3 2" xfId="787" xr:uid="{00000000-0005-0000-0000-000035030000}"/>
    <cellStyle name="표준 6 8 4" xfId="788" xr:uid="{00000000-0005-0000-0000-000036030000}"/>
    <cellStyle name="표준 6 9" xfId="789" xr:uid="{00000000-0005-0000-0000-000037030000}"/>
    <cellStyle name="표준 6 9 2" xfId="790" xr:uid="{00000000-0005-0000-0000-000038030000}"/>
    <cellStyle name="표준 6 9 2 2" xfId="791" xr:uid="{00000000-0005-0000-0000-000039030000}"/>
    <cellStyle name="표준 6 9 2 2 2" xfId="792" xr:uid="{00000000-0005-0000-0000-00003A030000}"/>
    <cellStyle name="표준 6 9 2 3" xfId="793" xr:uid="{00000000-0005-0000-0000-00003B030000}"/>
    <cellStyle name="표준 6 9 3" xfId="794" xr:uid="{00000000-0005-0000-0000-00003C030000}"/>
    <cellStyle name="표준 6 9 3 2" xfId="795" xr:uid="{00000000-0005-0000-0000-00003D030000}"/>
    <cellStyle name="표준 6 9 4" xfId="796" xr:uid="{00000000-0005-0000-0000-00003E030000}"/>
    <cellStyle name="표준 7" xfId="797" xr:uid="{00000000-0005-0000-0000-00003F030000}"/>
    <cellStyle name="표준 8" xfId="798" xr:uid="{00000000-0005-0000-0000-000040030000}"/>
    <cellStyle name="표준 8 2" xfId="799" xr:uid="{00000000-0005-0000-0000-000041030000}"/>
    <cellStyle name="표준 8 2 2" xfId="800" xr:uid="{00000000-0005-0000-0000-000042030000}"/>
    <cellStyle name="표준 8 2 2 2" xfId="801" xr:uid="{00000000-0005-0000-0000-000043030000}"/>
    <cellStyle name="표준 8 2 2 2 2" xfId="802" xr:uid="{00000000-0005-0000-0000-000044030000}"/>
    <cellStyle name="표준 8 2 2 2 2 2" xfId="803" xr:uid="{00000000-0005-0000-0000-000045030000}"/>
    <cellStyle name="표준 8 2 2 2 3" xfId="804" xr:uid="{00000000-0005-0000-0000-000046030000}"/>
    <cellStyle name="표준 8 2 2 3" xfId="805" xr:uid="{00000000-0005-0000-0000-000047030000}"/>
    <cellStyle name="표준 8 2 2 3 2" xfId="806" xr:uid="{00000000-0005-0000-0000-000048030000}"/>
    <cellStyle name="표준 8 2 2 4" xfId="807" xr:uid="{00000000-0005-0000-0000-000049030000}"/>
    <cellStyle name="표준 8 2 3" xfId="808" xr:uid="{00000000-0005-0000-0000-00004A030000}"/>
    <cellStyle name="표준 8 2 3 2" xfId="809" xr:uid="{00000000-0005-0000-0000-00004B030000}"/>
    <cellStyle name="표준 8 2 3 2 2" xfId="810" xr:uid="{00000000-0005-0000-0000-00004C030000}"/>
    <cellStyle name="표준 8 2 3 3" xfId="811" xr:uid="{00000000-0005-0000-0000-00004D030000}"/>
    <cellStyle name="표준 8 2 4" xfId="812" xr:uid="{00000000-0005-0000-0000-00004E030000}"/>
    <cellStyle name="표준 8 2 4 2" xfId="813" xr:uid="{00000000-0005-0000-0000-00004F030000}"/>
    <cellStyle name="표준 8 2 5" xfId="814" xr:uid="{00000000-0005-0000-0000-000050030000}"/>
    <cellStyle name="표준 8 3" xfId="815" xr:uid="{00000000-0005-0000-0000-000051030000}"/>
    <cellStyle name="표준 8 3 2" xfId="816" xr:uid="{00000000-0005-0000-0000-000052030000}"/>
    <cellStyle name="표준 8 3 2 2" xfId="817" xr:uid="{00000000-0005-0000-0000-000053030000}"/>
    <cellStyle name="표준 8 3 2 2 2" xfId="818" xr:uid="{00000000-0005-0000-0000-000054030000}"/>
    <cellStyle name="표준 8 3 2 3" xfId="819" xr:uid="{00000000-0005-0000-0000-000055030000}"/>
    <cellStyle name="표준 8 3 3" xfId="820" xr:uid="{00000000-0005-0000-0000-000056030000}"/>
    <cellStyle name="표준 8 3 3 2" xfId="821" xr:uid="{00000000-0005-0000-0000-000057030000}"/>
    <cellStyle name="표준 8 3 4" xfId="822" xr:uid="{00000000-0005-0000-0000-000058030000}"/>
    <cellStyle name="표준 8 4" xfId="823" xr:uid="{00000000-0005-0000-0000-000059030000}"/>
    <cellStyle name="표준 8 4 2" xfId="824" xr:uid="{00000000-0005-0000-0000-00005A030000}"/>
    <cellStyle name="표준 8 4 2 2" xfId="825" xr:uid="{00000000-0005-0000-0000-00005B030000}"/>
    <cellStyle name="표준 8 4 3" xfId="826" xr:uid="{00000000-0005-0000-0000-00005C030000}"/>
    <cellStyle name="표준 8 5" xfId="827" xr:uid="{00000000-0005-0000-0000-00005D030000}"/>
    <cellStyle name="표준 8 5 2" xfId="828" xr:uid="{00000000-0005-0000-0000-00005E030000}"/>
    <cellStyle name="표준 8 6" xfId="829" xr:uid="{00000000-0005-0000-0000-00005F030000}"/>
    <cellStyle name="표준 9" xfId="830" xr:uid="{00000000-0005-0000-0000-000060030000}"/>
    <cellStyle name="표준 9 2" xfId="831" xr:uid="{00000000-0005-0000-0000-000061030000}"/>
    <cellStyle name="표준 9 2 2" xfId="832" xr:uid="{00000000-0005-0000-0000-000062030000}"/>
    <cellStyle name="표준 9 2 2 2" xfId="833" xr:uid="{00000000-0005-0000-0000-000063030000}"/>
    <cellStyle name="표준 9 2 2 2 2" xfId="834" xr:uid="{00000000-0005-0000-0000-000064030000}"/>
    <cellStyle name="표준 9 2 2 2 2 2" xfId="835" xr:uid="{00000000-0005-0000-0000-000065030000}"/>
    <cellStyle name="표준 9 2 2 2 3" xfId="836" xr:uid="{00000000-0005-0000-0000-000066030000}"/>
    <cellStyle name="표준 9 2 2 3" xfId="837" xr:uid="{00000000-0005-0000-0000-000067030000}"/>
    <cellStyle name="표준 9 2 2 3 2" xfId="838" xr:uid="{00000000-0005-0000-0000-000068030000}"/>
    <cellStyle name="표준 9 2 2 4" xfId="839" xr:uid="{00000000-0005-0000-0000-000069030000}"/>
    <cellStyle name="표준 9 2 3" xfId="840" xr:uid="{00000000-0005-0000-0000-00006A030000}"/>
    <cellStyle name="표준 9 2 3 2" xfId="841" xr:uid="{00000000-0005-0000-0000-00006B030000}"/>
    <cellStyle name="표준 9 2 3 2 2" xfId="842" xr:uid="{00000000-0005-0000-0000-00006C030000}"/>
    <cellStyle name="표준 9 2 3 3" xfId="843" xr:uid="{00000000-0005-0000-0000-00006D030000}"/>
    <cellStyle name="표준 9 2 4" xfId="844" xr:uid="{00000000-0005-0000-0000-00006E030000}"/>
    <cellStyle name="표준 9 2 4 2" xfId="845" xr:uid="{00000000-0005-0000-0000-00006F030000}"/>
    <cellStyle name="표준 9 2 5" xfId="846" xr:uid="{00000000-0005-0000-0000-000070030000}"/>
    <cellStyle name="표준 9 3" xfId="847" xr:uid="{00000000-0005-0000-0000-000071030000}"/>
    <cellStyle name="표준 9 3 2" xfId="848" xr:uid="{00000000-0005-0000-0000-000072030000}"/>
    <cellStyle name="표준 9 3 2 2" xfId="849" xr:uid="{00000000-0005-0000-0000-000073030000}"/>
    <cellStyle name="표준 9 3 2 2 2" xfId="850" xr:uid="{00000000-0005-0000-0000-000074030000}"/>
    <cellStyle name="표준 9 3 2 3" xfId="851" xr:uid="{00000000-0005-0000-0000-000075030000}"/>
    <cellStyle name="표준 9 3 3" xfId="852" xr:uid="{00000000-0005-0000-0000-000076030000}"/>
    <cellStyle name="표준 9 3 3 2" xfId="853" xr:uid="{00000000-0005-0000-0000-000077030000}"/>
    <cellStyle name="표준 9 3 4" xfId="854" xr:uid="{00000000-0005-0000-0000-000078030000}"/>
    <cellStyle name="표준 9 4" xfId="855" xr:uid="{00000000-0005-0000-0000-000079030000}"/>
    <cellStyle name="표준 9 4 2" xfId="856" xr:uid="{00000000-0005-0000-0000-00007A030000}"/>
    <cellStyle name="표준 9 4 2 2" xfId="857" xr:uid="{00000000-0005-0000-0000-00007B030000}"/>
    <cellStyle name="표준 9 4 3" xfId="858" xr:uid="{00000000-0005-0000-0000-00007C030000}"/>
    <cellStyle name="표준 9 5" xfId="859" xr:uid="{00000000-0005-0000-0000-00007D030000}"/>
    <cellStyle name="표준 9 5 2" xfId="860" xr:uid="{00000000-0005-0000-0000-00007E030000}"/>
    <cellStyle name="표준 9 6" xfId="861" xr:uid="{00000000-0005-0000-0000-00007F030000}"/>
    <cellStyle name="표준_ANCHOR" xfId="900" xr:uid="{E147F1DA-3C96-46AE-A769-910214B48BBD}"/>
    <cellStyle name="표준_ANCHOR(16.7KN)" xfId="862" xr:uid="{00000000-0005-0000-0000-000080030000}"/>
    <cellStyle name="표준_경기도미술관" xfId="863" xr:uid="{00000000-0005-0000-0000-000081030000}"/>
    <cellStyle name="표준_보고서시작" xfId="864" xr:uid="{00000000-0005-0000-0000-000082030000}"/>
    <cellStyle name="표준_풍압계수산정(수압면적에따른)" xfId="865" xr:uid="{00000000-0005-0000-0000-000083030000}"/>
  </cellStyles>
  <dxfs count="8"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3399"/>
      <color rgb="FF0000FF"/>
      <color rgb="FFFFFFCC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png"/><Relationship Id="rId5" Type="http://schemas.openxmlformats.org/officeDocument/2006/relationships/image" Target="../media/image18.emf"/><Relationship Id="rId4" Type="http://schemas.openxmlformats.org/officeDocument/2006/relationships/image" Target="../media/image17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emf"/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20.emf"/><Relationship Id="rId1" Type="http://schemas.openxmlformats.org/officeDocument/2006/relationships/image" Target="../media/image9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2.emf"/><Relationship Id="rId1" Type="http://schemas.openxmlformats.org/officeDocument/2006/relationships/image" Target="../media/image20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5" Type="http://schemas.openxmlformats.org/officeDocument/2006/relationships/image" Target="../media/image19.png"/><Relationship Id="rId4" Type="http://schemas.openxmlformats.org/officeDocument/2006/relationships/image" Target="../media/image17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png"/><Relationship Id="rId5" Type="http://schemas.openxmlformats.org/officeDocument/2006/relationships/image" Target="../media/image25.png"/><Relationship Id="rId4" Type="http://schemas.openxmlformats.org/officeDocument/2006/relationships/image" Target="../media/image2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2.emf"/><Relationship Id="rId1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2.emf"/><Relationship Id="rId1" Type="http://schemas.openxmlformats.org/officeDocument/2006/relationships/image" Target="../media/image8.emf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emf"/><Relationship Id="rId1" Type="http://schemas.openxmlformats.org/officeDocument/2006/relationships/image" Target="../media/image13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3.emf"/><Relationship Id="rId1" Type="http://schemas.openxmlformats.org/officeDocument/2006/relationships/image" Target="../media/image8.emf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603739</xdr:colOff>
      <xdr:row>54</xdr:row>
      <xdr:rowOff>76200</xdr:rowOff>
    </xdr:from>
    <xdr:to>
      <xdr:col>9</xdr:col>
      <xdr:colOff>546589</xdr:colOff>
      <xdr:row>65</xdr:row>
      <xdr:rowOff>28574</xdr:rowOff>
    </xdr:to>
    <xdr:grpSp>
      <xdr:nvGrpSpPr>
        <xdr:cNvPr id="6" name="그룹 2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3594589" y="11077575"/>
          <a:ext cx="1828800" cy="2152649"/>
          <a:chOff x="3593224" y="4624552"/>
          <a:chExt cx="1833268" cy="2124000"/>
        </a:xfrm>
      </xdr:grpSpPr>
      <xdr:pic>
        <xdr:nvPicPr>
          <xdr:cNvPr id="7" name="Picture 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93224" y="4624552"/>
            <a:ext cx="1833268" cy="2124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8" name="직선 화살표 연결선 1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4820963" y="5161570"/>
            <a:ext cx="369659" cy="81649"/>
          </a:xfrm>
          <a:prstGeom prst="straightConnector1">
            <a:avLst/>
          </a:prstGeom>
          <a:noFill/>
          <a:ln w="9525" algn="ctr">
            <a:solidFill>
              <a:srgbClr val="000000"/>
            </a:solidFill>
            <a:round/>
            <a:headEnd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" name="직선 화살표 연결선 1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4500473" y="5207656"/>
            <a:ext cx="592375" cy="238230"/>
          </a:xfrm>
          <a:prstGeom prst="straightConnector1">
            <a:avLst/>
          </a:prstGeom>
          <a:noFill/>
          <a:ln w="9525" algn="ctr">
            <a:solidFill>
              <a:srgbClr val="000000"/>
            </a:solidFill>
            <a:round/>
            <a:headEnd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57150</xdr:rowOff>
        </xdr:from>
        <xdr:to>
          <xdr:col>5</xdr:col>
          <xdr:colOff>66675</xdr:colOff>
          <xdr:row>42</xdr:row>
          <xdr:rowOff>180975</xdr:rowOff>
        </xdr:to>
        <xdr:sp macro="" textlink="">
          <xdr:nvSpPr>
            <xdr:cNvPr id="108545" name="Object 1" hidden="1">
              <a:extLst>
                <a:ext uri="{63B3BB69-23CF-44E3-9099-C40C66FF867C}">
                  <a14:compatExt spid="_x0000_s108545"/>
                </a:ext>
                <a:ext uri="{FF2B5EF4-FFF2-40B4-BE49-F238E27FC236}">
                  <a16:creationId xmlns:a16="http://schemas.microsoft.com/office/drawing/2014/main" id="{00000000-0008-0000-0000-00000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0</xdr:colOff>
      <xdr:row>31</xdr:row>
      <xdr:rowOff>197826</xdr:rowOff>
    </xdr:from>
    <xdr:to>
      <xdr:col>12</xdr:col>
      <xdr:colOff>136869</xdr:colOff>
      <xdr:row>42</xdr:row>
      <xdr:rowOff>128595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783" y="6558869"/>
          <a:ext cx="3110325" cy="211737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367862</xdr:rowOff>
    </xdr:from>
    <xdr:to>
      <xdr:col>12</xdr:col>
      <xdr:colOff>47625</xdr:colOff>
      <xdr:row>1</xdr:row>
      <xdr:rowOff>49924</xdr:rowOff>
    </xdr:to>
    <xdr:grpSp>
      <xdr:nvGrpSpPr>
        <xdr:cNvPr id="12" name="그룹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238125" y="367862"/>
          <a:ext cx="6400800" cy="82112"/>
          <a:chOff x="236963" y="752128"/>
          <a:chExt cx="6321635" cy="92637"/>
        </a:xfrm>
      </xdr:grpSpPr>
      <xdr:cxnSp macro="">
        <xdr:nvCxnSpPr>
          <xdr:cNvPr id="13" name="직선 연결선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36963" y="799171"/>
            <a:ext cx="6264430" cy="0"/>
          </a:xfrm>
          <a:prstGeom prst="line">
            <a:avLst/>
          </a:prstGeom>
          <a:noFill/>
          <a:ln w="1905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4" name="순서도: 연결자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 bwMode="auto">
          <a:xfrm>
            <a:off x="6473933" y="752128"/>
            <a:ext cx="84665" cy="92637"/>
          </a:xfrm>
          <a:prstGeom prst="flowChartConnector">
            <a:avLst/>
          </a:prstGeom>
          <a:solidFill>
            <a:srgbClr val="FF0000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ko-KR" altLang="en-US" sz="1200" b="1">
              <a:latin typeface="맑은 고딕" pitchFamily="50" charset="-127"/>
              <a:ea typeface="맑은 고딕" pitchFamily="50" charset="-127"/>
            </a:endParaRPr>
          </a:p>
        </xdr:txBody>
      </xdr:sp>
    </xdr:grpSp>
    <xdr:clientData/>
  </xdr:twoCellAnchor>
  <xdr:twoCellAnchor editAs="oneCell">
    <xdr:from>
      <xdr:col>9</xdr:col>
      <xdr:colOff>372715</xdr:colOff>
      <xdr:row>0</xdr:row>
      <xdr:rowOff>41413</xdr:rowOff>
    </xdr:from>
    <xdr:to>
      <xdr:col>12</xdr:col>
      <xdr:colOff>198778</xdr:colOff>
      <xdr:row>0</xdr:row>
      <xdr:rowOff>369404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454" y="41413"/>
          <a:ext cx="1540563" cy="3279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297</xdr:row>
      <xdr:rowOff>161925</xdr:rowOff>
    </xdr:from>
    <xdr:to>
      <xdr:col>3</xdr:col>
      <xdr:colOff>0</xdr:colOff>
      <xdr:row>297</xdr:row>
      <xdr:rowOff>161925</xdr:rowOff>
    </xdr:to>
    <xdr:sp macro="" textlink="">
      <xdr:nvSpPr>
        <xdr:cNvPr id="2" name="Line 85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 flipH="1">
          <a:off x="1628775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22</xdr:col>
      <xdr:colOff>28575</xdr:colOff>
      <xdr:row>279</xdr:row>
      <xdr:rowOff>19050</xdr:rowOff>
    </xdr:from>
    <xdr:to>
      <xdr:col>22</xdr:col>
      <xdr:colOff>1238250</xdr:colOff>
      <xdr:row>279</xdr:row>
      <xdr:rowOff>1990725</xdr:rowOff>
    </xdr:to>
    <xdr:pic>
      <xdr:nvPicPr>
        <xdr:cNvPr id="3" name="FIGURE0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01850" y="55787925"/>
          <a:ext cx="120967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19050</xdr:colOff>
      <xdr:row>279</xdr:row>
      <xdr:rowOff>19050</xdr:rowOff>
    </xdr:from>
    <xdr:to>
      <xdr:col>21</xdr:col>
      <xdr:colOff>1247775</xdr:colOff>
      <xdr:row>279</xdr:row>
      <xdr:rowOff>1990725</xdr:rowOff>
    </xdr:to>
    <xdr:pic>
      <xdr:nvPicPr>
        <xdr:cNvPr id="4" name="FIGURE0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55787925"/>
          <a:ext cx="12287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295275</xdr:rowOff>
    </xdr:from>
    <xdr:to>
      <xdr:col>23</xdr:col>
      <xdr:colOff>1238250</xdr:colOff>
      <xdr:row>279</xdr:row>
      <xdr:rowOff>1600200</xdr:rowOff>
    </xdr:to>
    <xdr:pic>
      <xdr:nvPicPr>
        <xdr:cNvPr id="5" name="FIGURE0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9625" y="56064150"/>
          <a:ext cx="12287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180975</xdr:colOff>
      <xdr:row>279</xdr:row>
      <xdr:rowOff>19050</xdr:rowOff>
    </xdr:from>
    <xdr:to>
      <xdr:col>24</xdr:col>
      <xdr:colOff>1085850</xdr:colOff>
      <xdr:row>279</xdr:row>
      <xdr:rowOff>2000250</xdr:rowOff>
    </xdr:to>
    <xdr:pic>
      <xdr:nvPicPr>
        <xdr:cNvPr id="6" name="FIGURE0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55787925"/>
          <a:ext cx="9048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89</xdr:row>
      <xdr:rowOff>161925</xdr:rowOff>
    </xdr:from>
    <xdr:to>
      <xdr:col>4</xdr:col>
      <xdr:colOff>0</xdr:colOff>
      <xdr:row>89</xdr:row>
      <xdr:rowOff>161925</xdr:rowOff>
    </xdr:to>
    <xdr:sp macro="" textlink="">
      <xdr:nvSpPr>
        <xdr:cNvPr id="9" name="Line 84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ShapeType="1"/>
        </xdr:cNvSpPr>
      </xdr:nvSpPr>
      <xdr:spPr bwMode="auto">
        <a:xfrm flipH="1">
          <a:off x="2324100" y="1796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89</xdr:row>
      <xdr:rowOff>161925</xdr:rowOff>
    </xdr:from>
    <xdr:to>
      <xdr:col>4</xdr:col>
      <xdr:colOff>0</xdr:colOff>
      <xdr:row>89</xdr:row>
      <xdr:rowOff>161925</xdr:rowOff>
    </xdr:to>
    <xdr:sp macro="" textlink="">
      <xdr:nvSpPr>
        <xdr:cNvPr id="10" name="Line 844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ShapeType="1"/>
        </xdr:cNvSpPr>
      </xdr:nvSpPr>
      <xdr:spPr bwMode="auto">
        <a:xfrm flipH="1">
          <a:off x="2324100" y="1796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13139</xdr:colOff>
      <xdr:row>30</xdr:row>
      <xdr:rowOff>104486</xdr:rowOff>
    </xdr:from>
    <xdr:to>
      <xdr:col>2</xdr:col>
      <xdr:colOff>829</xdr:colOff>
      <xdr:row>33</xdr:row>
      <xdr:rowOff>109912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4" y="6105236"/>
          <a:ext cx="683015" cy="605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7395</xdr:colOff>
      <xdr:row>22</xdr:row>
      <xdr:rowOff>52388</xdr:rowOff>
    </xdr:from>
    <xdr:to>
      <xdr:col>1</xdr:col>
      <xdr:colOff>86937</xdr:colOff>
      <xdr:row>22</xdr:row>
      <xdr:rowOff>52388</xdr:rowOff>
    </xdr:to>
    <xdr:cxnSp macro="">
      <xdr:nvCxnSpPr>
        <xdr:cNvPr id="14" name="직선 연결선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 bwMode="auto">
        <a:xfrm>
          <a:off x="245520" y="4452938"/>
          <a:ext cx="79542" cy="0"/>
        </a:xfrm>
        <a:prstGeom prst="line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7395</xdr:colOff>
      <xdr:row>23</xdr:row>
      <xdr:rowOff>52388</xdr:rowOff>
    </xdr:from>
    <xdr:to>
      <xdr:col>1</xdr:col>
      <xdr:colOff>86937</xdr:colOff>
      <xdr:row>23</xdr:row>
      <xdr:rowOff>52388</xdr:rowOff>
    </xdr:to>
    <xdr:cxnSp macro="">
      <xdr:nvCxnSpPr>
        <xdr:cNvPr id="15" name="직선 연결선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 bwMode="auto">
        <a:xfrm>
          <a:off x="245520" y="4652963"/>
          <a:ext cx="79542" cy="0"/>
        </a:xfrm>
        <a:prstGeom prst="line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148447</xdr:colOff>
      <xdr:row>1</xdr:row>
      <xdr:rowOff>130164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192" y="0"/>
          <a:ext cx="1540563" cy="3279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6" name="Line 210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197826</xdr:colOff>
      <xdr:row>21</xdr:row>
      <xdr:rowOff>168519</xdr:rowOff>
    </xdr:from>
    <xdr:to>
      <xdr:col>4</xdr:col>
      <xdr:colOff>294542</xdr:colOff>
      <xdr:row>32</xdr:row>
      <xdr:rowOff>168519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601" y="4369044"/>
          <a:ext cx="1354016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131885</xdr:colOff>
      <xdr:row>25</xdr:row>
      <xdr:rowOff>124559</xdr:rowOff>
    </xdr:from>
    <xdr:to>
      <xdr:col>10</xdr:col>
      <xdr:colOff>491423</xdr:colOff>
      <xdr:row>40</xdr:row>
      <xdr:rowOff>196192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260" y="5125184"/>
          <a:ext cx="2874138" cy="3072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107672</xdr:colOff>
      <xdr:row>1</xdr:row>
      <xdr:rowOff>129208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087" y="0"/>
          <a:ext cx="1540563" cy="32799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2" name="Line 21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197826</xdr:colOff>
      <xdr:row>21</xdr:row>
      <xdr:rowOff>168519</xdr:rowOff>
    </xdr:from>
    <xdr:to>
      <xdr:col>4</xdr:col>
      <xdr:colOff>294542</xdr:colOff>
      <xdr:row>32</xdr:row>
      <xdr:rowOff>168519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601" y="4369044"/>
          <a:ext cx="1354016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161192</xdr:colOff>
      <xdr:row>24</xdr:row>
      <xdr:rowOff>109904</xdr:rowOff>
    </xdr:from>
    <xdr:to>
      <xdr:col>10</xdr:col>
      <xdr:colOff>528058</xdr:colOff>
      <xdr:row>39</xdr:row>
      <xdr:rowOff>189497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8904" y="4857750"/>
          <a:ext cx="2880000" cy="304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107672</xdr:colOff>
      <xdr:row>1</xdr:row>
      <xdr:rowOff>129208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087" y="0"/>
          <a:ext cx="1540563" cy="32799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2" name="Line 210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131885</xdr:colOff>
      <xdr:row>25</xdr:row>
      <xdr:rowOff>124559</xdr:rowOff>
    </xdr:from>
    <xdr:to>
      <xdr:col>10</xdr:col>
      <xdr:colOff>491423</xdr:colOff>
      <xdr:row>40</xdr:row>
      <xdr:rowOff>196192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260" y="5125184"/>
          <a:ext cx="2874138" cy="3072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454270</xdr:colOff>
      <xdr:row>21</xdr:row>
      <xdr:rowOff>51289</xdr:rowOff>
    </xdr:from>
    <xdr:to>
      <xdr:col>4</xdr:col>
      <xdr:colOff>311623</xdr:colOff>
      <xdr:row>31</xdr:row>
      <xdr:rowOff>175845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95" y="4251814"/>
          <a:ext cx="1743303" cy="212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107672</xdr:colOff>
      <xdr:row>1</xdr:row>
      <xdr:rowOff>129208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087" y="0"/>
          <a:ext cx="1540563" cy="32799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2" name="Line 21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454270</xdr:colOff>
      <xdr:row>21</xdr:row>
      <xdr:rowOff>51289</xdr:rowOff>
    </xdr:from>
    <xdr:to>
      <xdr:col>4</xdr:col>
      <xdr:colOff>311623</xdr:colOff>
      <xdr:row>31</xdr:row>
      <xdr:rowOff>175845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95" y="4251814"/>
          <a:ext cx="1743303" cy="212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139211</xdr:colOff>
      <xdr:row>24</xdr:row>
      <xdr:rowOff>117231</xdr:rowOff>
    </xdr:from>
    <xdr:to>
      <xdr:col>10</xdr:col>
      <xdr:colOff>506077</xdr:colOff>
      <xdr:row>39</xdr:row>
      <xdr:rowOff>196824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923" y="4865077"/>
          <a:ext cx="2880000" cy="304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8" name="Line 210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107672</xdr:colOff>
      <xdr:row>1</xdr:row>
      <xdr:rowOff>129208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087" y="0"/>
          <a:ext cx="1540563" cy="32799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251</xdr:row>
      <xdr:rowOff>161925</xdr:rowOff>
    </xdr:from>
    <xdr:to>
      <xdr:col>3</xdr:col>
      <xdr:colOff>0</xdr:colOff>
      <xdr:row>251</xdr:row>
      <xdr:rowOff>161925</xdr:rowOff>
    </xdr:to>
    <xdr:sp macro="" textlink="">
      <xdr:nvSpPr>
        <xdr:cNvPr id="2" name="Line 850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ShapeType="1"/>
        </xdr:cNvSpPr>
      </xdr:nvSpPr>
      <xdr:spPr bwMode="auto">
        <a:xfrm flipH="1">
          <a:off x="1628775" y="5215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22</xdr:col>
      <xdr:colOff>28575</xdr:colOff>
      <xdr:row>233</xdr:row>
      <xdr:rowOff>19050</xdr:rowOff>
    </xdr:from>
    <xdr:to>
      <xdr:col>22</xdr:col>
      <xdr:colOff>1238250</xdr:colOff>
      <xdr:row>233</xdr:row>
      <xdr:rowOff>1990725</xdr:rowOff>
    </xdr:to>
    <xdr:pic>
      <xdr:nvPicPr>
        <xdr:cNvPr id="3" name="FIGURE0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01850" y="46586775"/>
          <a:ext cx="120967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19050</xdr:colOff>
      <xdr:row>233</xdr:row>
      <xdr:rowOff>19050</xdr:rowOff>
    </xdr:from>
    <xdr:to>
      <xdr:col>21</xdr:col>
      <xdr:colOff>1247775</xdr:colOff>
      <xdr:row>233</xdr:row>
      <xdr:rowOff>1990725</xdr:rowOff>
    </xdr:to>
    <xdr:pic>
      <xdr:nvPicPr>
        <xdr:cNvPr id="4" name="FIGURE0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46586775"/>
          <a:ext cx="12287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233</xdr:row>
      <xdr:rowOff>295275</xdr:rowOff>
    </xdr:from>
    <xdr:to>
      <xdr:col>23</xdr:col>
      <xdr:colOff>1238250</xdr:colOff>
      <xdr:row>233</xdr:row>
      <xdr:rowOff>1600200</xdr:rowOff>
    </xdr:to>
    <xdr:pic>
      <xdr:nvPicPr>
        <xdr:cNvPr id="5" name="FIGURE03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9625" y="46863000"/>
          <a:ext cx="12287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180975</xdr:colOff>
      <xdr:row>233</xdr:row>
      <xdr:rowOff>19050</xdr:rowOff>
    </xdr:from>
    <xdr:to>
      <xdr:col>24</xdr:col>
      <xdr:colOff>1085850</xdr:colOff>
      <xdr:row>233</xdr:row>
      <xdr:rowOff>2000250</xdr:rowOff>
    </xdr:to>
    <xdr:pic>
      <xdr:nvPicPr>
        <xdr:cNvPr id="6" name="FIGURE0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46586775"/>
          <a:ext cx="9048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89</xdr:row>
      <xdr:rowOff>161925</xdr:rowOff>
    </xdr:from>
    <xdr:to>
      <xdr:col>4</xdr:col>
      <xdr:colOff>0</xdr:colOff>
      <xdr:row>89</xdr:row>
      <xdr:rowOff>161925</xdr:rowOff>
    </xdr:to>
    <xdr:sp macro="" textlink="">
      <xdr:nvSpPr>
        <xdr:cNvPr id="7" name="Line 843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ShapeType="1"/>
        </xdr:cNvSpPr>
      </xdr:nvSpPr>
      <xdr:spPr bwMode="auto">
        <a:xfrm flipH="1">
          <a:off x="2324100" y="1796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89</xdr:row>
      <xdr:rowOff>161925</xdr:rowOff>
    </xdr:from>
    <xdr:to>
      <xdr:col>4</xdr:col>
      <xdr:colOff>0</xdr:colOff>
      <xdr:row>89</xdr:row>
      <xdr:rowOff>161925</xdr:rowOff>
    </xdr:to>
    <xdr:sp macro="" textlink="">
      <xdr:nvSpPr>
        <xdr:cNvPr id="8" name="Line 84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ShapeType="1"/>
        </xdr:cNvSpPr>
      </xdr:nvSpPr>
      <xdr:spPr bwMode="auto">
        <a:xfrm flipH="1">
          <a:off x="2324100" y="1796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7395</xdr:colOff>
      <xdr:row>22</xdr:row>
      <xdr:rowOff>52388</xdr:rowOff>
    </xdr:from>
    <xdr:to>
      <xdr:col>1</xdr:col>
      <xdr:colOff>86937</xdr:colOff>
      <xdr:row>22</xdr:row>
      <xdr:rowOff>52388</xdr:rowOff>
    </xdr:to>
    <xdr:cxnSp macro="">
      <xdr:nvCxnSpPr>
        <xdr:cNvPr id="11" name="직선 연결선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 bwMode="auto">
        <a:xfrm>
          <a:off x="245520" y="4452938"/>
          <a:ext cx="79542" cy="0"/>
        </a:xfrm>
        <a:prstGeom prst="line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7395</xdr:colOff>
      <xdr:row>23</xdr:row>
      <xdr:rowOff>52388</xdr:rowOff>
    </xdr:from>
    <xdr:to>
      <xdr:col>1</xdr:col>
      <xdr:colOff>86937</xdr:colOff>
      <xdr:row>23</xdr:row>
      <xdr:rowOff>52388</xdr:rowOff>
    </xdr:to>
    <xdr:cxnSp macro="">
      <xdr:nvCxnSpPr>
        <xdr:cNvPr id="12" name="직선 연결선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CxnSpPr/>
      </xdr:nvCxnSpPr>
      <xdr:spPr bwMode="auto">
        <a:xfrm>
          <a:off x="245520" y="4652963"/>
          <a:ext cx="79542" cy="0"/>
        </a:xfrm>
        <a:prstGeom prst="line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148447</xdr:colOff>
      <xdr:row>1</xdr:row>
      <xdr:rowOff>130164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192" y="0"/>
          <a:ext cx="1540563" cy="32799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447675</xdr:colOff>
      <xdr:row>94</xdr:row>
      <xdr:rowOff>9525</xdr:rowOff>
    </xdr:from>
    <xdr:to>
      <xdr:col>41</xdr:col>
      <xdr:colOff>447675</xdr:colOff>
      <xdr:row>97</xdr:row>
      <xdr:rowOff>75916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/>
      </xdr:nvSpPr>
      <xdr:spPr bwMode="auto">
        <a:xfrm>
          <a:off x="19888200" y="19411950"/>
          <a:ext cx="2971800" cy="666466"/>
        </a:xfrm>
        <a:prstGeom prst="rect">
          <a:avLst/>
        </a:prstGeom>
        <a:noFill/>
        <a:ln w="1270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altLang="ko-KR" sz="1200" b="1">
              <a:solidFill>
                <a:srgbClr val="C00000"/>
              </a:solidFill>
              <a:latin typeface="맑은 고딕" pitchFamily="50" charset="-127"/>
              <a:ea typeface="맑은 고딕" pitchFamily="50" charset="-127"/>
            </a:rPr>
            <a:t>KDS</a:t>
          </a:r>
          <a:r>
            <a:rPr lang="en-US" altLang="ko-KR" sz="1200" b="1" baseline="0">
              <a:solidFill>
                <a:srgbClr val="C00000"/>
              </a:solidFill>
              <a:latin typeface="맑은 고딕" pitchFamily="50" charset="-127"/>
              <a:ea typeface="맑은 고딕" pitchFamily="50" charset="-127"/>
            </a:rPr>
            <a:t> 14 30 10 </a:t>
          </a:r>
          <a:r>
            <a:rPr lang="ko-KR" altLang="en-US" sz="1200" b="1" baseline="0">
              <a:solidFill>
                <a:srgbClr val="C00000"/>
              </a:solidFill>
              <a:latin typeface="맑은 고딕" pitchFamily="50" charset="-127"/>
              <a:ea typeface="맑은 고딕" pitchFamily="50" charset="-127"/>
            </a:rPr>
            <a:t>강구조 부재 설계기준</a:t>
          </a:r>
          <a:r>
            <a:rPr lang="en-US" altLang="ko-KR" sz="1200" b="1" baseline="0">
              <a:solidFill>
                <a:srgbClr val="C00000"/>
              </a:solidFill>
              <a:latin typeface="맑은 고딕" pitchFamily="50" charset="-127"/>
              <a:ea typeface="맑은 고딕" pitchFamily="50" charset="-127"/>
            </a:rPr>
            <a:t>(</a:t>
          </a:r>
          <a:r>
            <a:rPr lang="ko-KR" altLang="en-US" sz="1200" b="1" baseline="0">
              <a:solidFill>
                <a:srgbClr val="C00000"/>
              </a:solidFill>
              <a:latin typeface="맑은 고딕" pitchFamily="50" charset="-127"/>
              <a:ea typeface="맑은 고딕" pitchFamily="50" charset="-127"/>
            </a:rPr>
            <a:t>허용응력설계법</a:t>
          </a:r>
          <a:r>
            <a:rPr lang="en-US" altLang="ko-KR" sz="1200" b="1" baseline="0">
              <a:solidFill>
                <a:srgbClr val="C00000"/>
              </a:solidFill>
              <a:latin typeface="맑은 고딕" pitchFamily="50" charset="-127"/>
              <a:ea typeface="맑은 고딕" pitchFamily="50" charset="-127"/>
            </a:rPr>
            <a:t>)</a:t>
          </a:r>
          <a:endParaRPr lang="ko-KR" altLang="en-US" sz="1200" b="1">
            <a:solidFill>
              <a:srgbClr val="C00000"/>
            </a:solidFill>
            <a:latin typeface="맑은 고딕" pitchFamily="50" charset="-127"/>
            <a:ea typeface="맑은 고딕" pitchFamily="50" charset="-127"/>
          </a:endParaRPr>
        </a:p>
      </xdr:txBody>
    </xdr:sp>
    <xdr:clientData/>
  </xdr:twoCellAnchor>
  <xdr:twoCellAnchor>
    <xdr:from>
      <xdr:col>20</xdr:col>
      <xdr:colOff>45006</xdr:colOff>
      <xdr:row>52</xdr:row>
      <xdr:rowOff>133351</xdr:rowOff>
    </xdr:from>
    <xdr:to>
      <xdr:col>27</xdr:col>
      <xdr:colOff>1316</xdr:colOff>
      <xdr:row>84</xdr:row>
      <xdr:rowOff>133351</xdr:rowOff>
    </xdr:to>
    <xdr:grpSp>
      <xdr:nvGrpSpPr>
        <xdr:cNvPr id="15" name="그룹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GrpSpPr/>
      </xdr:nvGrpSpPr>
      <xdr:grpSpPr>
        <a:xfrm>
          <a:off x="11551206" y="9347200"/>
          <a:ext cx="4045710" cy="0"/>
          <a:chOff x="11455956" y="10734675"/>
          <a:chExt cx="5469087" cy="6495002"/>
        </a:xfrm>
      </xdr:grpSpPr>
      <xdr:pic>
        <xdr:nvPicPr>
          <xdr:cNvPr id="16" name="그림 15">
            <a:extLst>
              <a:ext uri="{FF2B5EF4-FFF2-40B4-BE49-F238E27FC236}">
                <a16:creationId xmlns:a16="http://schemas.microsoft.com/office/drawing/2014/main" id="{00000000-0008-0000-11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455956" y="10734675"/>
            <a:ext cx="5469087" cy="6495002"/>
          </a:xfrm>
          <a:prstGeom prst="rect">
            <a:avLst/>
          </a:prstGeom>
        </xdr:spPr>
      </xdr:pic>
      <xdr:sp macro="" textlink="">
        <xdr:nvSpPr>
          <xdr:cNvPr id="17" name="직사각형 16">
            <a:extLst>
              <a:ext uri="{FF2B5EF4-FFF2-40B4-BE49-F238E27FC236}">
                <a16:creationId xmlns:a16="http://schemas.microsoft.com/office/drawing/2014/main" id="{00000000-0008-0000-1100-000011000000}"/>
              </a:ext>
            </a:extLst>
          </xdr:cNvPr>
          <xdr:cNvSpPr/>
        </xdr:nvSpPr>
        <xdr:spPr bwMode="auto">
          <a:xfrm>
            <a:off x="13830301" y="10763250"/>
            <a:ext cx="2971800" cy="676275"/>
          </a:xfrm>
          <a:prstGeom prst="rect">
            <a:avLst/>
          </a:prstGeom>
          <a:noFill/>
          <a:ln w="12700" cap="flat" cmpd="sng" algn="ctr">
            <a:solidFill>
              <a:srgbClr val="C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n-US" altLang="ko-KR" sz="1200" b="1">
                <a:solidFill>
                  <a:srgbClr val="C00000"/>
                </a:solidFill>
                <a:latin typeface="맑은 고딕" pitchFamily="50" charset="-127"/>
                <a:ea typeface="맑은 고딕" pitchFamily="50" charset="-127"/>
              </a:rPr>
              <a:t>KDS</a:t>
            </a:r>
            <a:r>
              <a:rPr lang="en-US" altLang="ko-KR" sz="1200" b="1" baseline="0">
                <a:solidFill>
                  <a:srgbClr val="C00000"/>
                </a:solidFill>
                <a:latin typeface="맑은 고딕" pitchFamily="50" charset="-127"/>
                <a:ea typeface="맑은 고딕" pitchFamily="50" charset="-127"/>
              </a:rPr>
              <a:t> 14 30 25 </a:t>
            </a:r>
            <a:r>
              <a:rPr lang="ko-KR" altLang="en-US" sz="1200" b="1" baseline="0">
                <a:solidFill>
                  <a:srgbClr val="C00000"/>
                </a:solidFill>
                <a:latin typeface="맑은 고딕" pitchFamily="50" charset="-127"/>
                <a:ea typeface="맑은 고딕" pitchFamily="50" charset="-127"/>
              </a:rPr>
              <a:t>강구조 연결 설계기준</a:t>
            </a:r>
            <a:r>
              <a:rPr lang="en-US" altLang="ko-KR" sz="1200" b="1" baseline="0">
                <a:solidFill>
                  <a:srgbClr val="C00000"/>
                </a:solidFill>
                <a:latin typeface="맑은 고딕" pitchFamily="50" charset="-127"/>
                <a:ea typeface="맑은 고딕" pitchFamily="50" charset="-127"/>
              </a:rPr>
              <a:t>(</a:t>
            </a:r>
            <a:r>
              <a:rPr lang="ko-KR" altLang="en-US" sz="1200" b="1" baseline="0">
                <a:solidFill>
                  <a:srgbClr val="C00000"/>
                </a:solidFill>
                <a:latin typeface="맑은 고딕" pitchFamily="50" charset="-127"/>
                <a:ea typeface="맑은 고딕" pitchFamily="50" charset="-127"/>
              </a:rPr>
              <a:t>허용응력설계법</a:t>
            </a:r>
            <a:r>
              <a:rPr lang="en-US" altLang="ko-KR" sz="1200" b="1" baseline="0">
                <a:solidFill>
                  <a:srgbClr val="C00000"/>
                </a:solidFill>
                <a:latin typeface="맑은 고딕" pitchFamily="50" charset="-127"/>
                <a:ea typeface="맑은 고딕" pitchFamily="50" charset="-127"/>
              </a:rPr>
              <a:t>)</a:t>
            </a:r>
            <a:endParaRPr lang="ko-KR" altLang="en-US" sz="1200" b="1">
              <a:solidFill>
                <a:srgbClr val="C00000"/>
              </a:solidFill>
              <a:latin typeface="맑은 고딕" pitchFamily="50" charset="-127"/>
              <a:ea typeface="맑은 고딕" pitchFamily="50" charset="-127"/>
            </a:endParaRPr>
          </a:p>
        </xdr:txBody>
      </xdr:sp>
    </xdr:grpSp>
    <xdr:clientData/>
  </xdr:twoCellAnchor>
  <xdr:twoCellAnchor>
    <xdr:from>
      <xdr:col>16</xdr:col>
      <xdr:colOff>38100</xdr:colOff>
      <xdr:row>226</xdr:row>
      <xdr:rowOff>0</xdr:rowOff>
    </xdr:from>
    <xdr:to>
      <xdr:col>16</xdr:col>
      <xdr:colOff>38100</xdr:colOff>
      <xdr:row>226</xdr:row>
      <xdr:rowOff>0</xdr:rowOff>
    </xdr:to>
    <xdr:sp macro="" textlink="">
      <xdr:nvSpPr>
        <xdr:cNvPr id="18" name="Line 101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>
          <a:spLocks noChangeShapeType="1"/>
        </xdr:cNvSpPr>
      </xdr:nvSpPr>
      <xdr:spPr bwMode="auto">
        <a:xfrm flipV="1">
          <a:off x="9124950" y="456628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95251</xdr:colOff>
      <xdr:row>13</xdr:row>
      <xdr:rowOff>95256</xdr:rowOff>
    </xdr:from>
    <xdr:to>
      <xdr:col>4</xdr:col>
      <xdr:colOff>353890</xdr:colOff>
      <xdr:row>21</xdr:row>
      <xdr:rowOff>44700</xdr:rowOff>
    </xdr:to>
    <xdr:grpSp>
      <xdr:nvGrpSpPr>
        <xdr:cNvPr id="22" name="그룹 56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GrpSpPr>
          <a:grpSpLocks/>
        </xdr:cNvGrpSpPr>
      </xdr:nvGrpSpPr>
      <xdr:grpSpPr bwMode="auto">
        <a:xfrm>
          <a:off x="971551" y="2736856"/>
          <a:ext cx="1528639" cy="1575044"/>
          <a:chOff x="7260807" y="2064678"/>
          <a:chExt cx="1516848" cy="1531380"/>
        </a:xfrm>
      </xdr:grpSpPr>
      <xdr:grpSp>
        <xdr:nvGrpSpPr>
          <xdr:cNvPr id="23" name="그룹 35">
            <a:extLst>
              <a:ext uri="{FF2B5EF4-FFF2-40B4-BE49-F238E27FC236}">
                <a16:creationId xmlns:a16="http://schemas.microsoft.com/office/drawing/2014/main" id="{00000000-0008-0000-1100-000017000000}"/>
              </a:ext>
            </a:extLst>
          </xdr:cNvPr>
          <xdr:cNvGrpSpPr>
            <a:grpSpLocks/>
          </xdr:cNvGrpSpPr>
        </xdr:nvGrpSpPr>
        <xdr:grpSpPr bwMode="auto">
          <a:xfrm>
            <a:off x="7260807" y="2861269"/>
            <a:ext cx="1516848" cy="414495"/>
            <a:chOff x="7004364" y="3271577"/>
            <a:chExt cx="1516848" cy="414495"/>
          </a:xfrm>
        </xdr:grpSpPr>
        <xdr:cxnSp macro="">
          <xdr:nvCxnSpPr>
            <xdr:cNvPr id="27" name="직선 화살표 연결선 61">
              <a:extLst>
                <a:ext uri="{FF2B5EF4-FFF2-40B4-BE49-F238E27FC236}">
                  <a16:creationId xmlns:a16="http://schemas.microsoft.com/office/drawing/2014/main" id="{00000000-0008-0000-1100-00001B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7422173" y="3465635"/>
              <a:ext cx="1099039" cy="0"/>
            </a:xfrm>
            <a:prstGeom prst="straightConnector1">
              <a:avLst/>
            </a:prstGeom>
            <a:noFill/>
            <a:ln w="25400" algn="ctr">
              <a:solidFill>
                <a:srgbClr val="0000FF"/>
              </a:solidFill>
              <a:round/>
              <a:headEnd type="triangle" w="lg" len="med"/>
              <a:tailEnd type="triangle" w="lg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28" name="직사각형 27">
              <a:extLst>
                <a:ext uri="{FF2B5EF4-FFF2-40B4-BE49-F238E27FC236}">
                  <a16:creationId xmlns:a16="http://schemas.microsoft.com/office/drawing/2014/main" id="{00000000-0008-0000-1100-00001C000000}"/>
                </a:ext>
              </a:extLst>
            </xdr:cNvPr>
            <xdr:cNvSpPr/>
          </xdr:nvSpPr>
          <xdr:spPr bwMode="auto">
            <a:xfrm>
              <a:off x="7004364" y="3271577"/>
              <a:ext cx="577943" cy="414495"/>
            </a:xfrm>
            <a:prstGeom prst="rect">
              <a:avLst/>
            </a:prstGeom>
            <a:noFill/>
            <a:ln w="12700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ctr"/>
              <a:r>
                <a:rPr lang="en-US" altLang="ko-KR" sz="1700" b="1" i="1">
                  <a:solidFill>
                    <a:srgbClr val="0000FF"/>
                  </a:solidFill>
                  <a:latin typeface="Times New Roman" pitchFamily="18" charset="0"/>
                  <a:ea typeface="맑은 고딕" pitchFamily="50" charset="-127"/>
                  <a:cs typeface="Times New Roman" pitchFamily="18" charset="0"/>
                </a:rPr>
                <a:t>P</a:t>
              </a:r>
              <a:r>
                <a:rPr lang="en-US" altLang="ko-KR" sz="1700" b="1" i="1" baseline="-25000">
                  <a:solidFill>
                    <a:srgbClr val="0000FF"/>
                  </a:solidFill>
                  <a:latin typeface="Times New Roman" pitchFamily="18" charset="0"/>
                  <a:ea typeface="맑은 고딕" pitchFamily="50" charset="-127"/>
                  <a:cs typeface="Times New Roman" pitchFamily="18" charset="0"/>
                </a:rPr>
                <a:t>1</a:t>
              </a:r>
              <a:endParaRPr lang="ko-KR" altLang="en-US" sz="1700" b="1" i="1" baseline="-25000">
                <a:solidFill>
                  <a:srgbClr val="0000FF"/>
                </a:solidFill>
                <a:latin typeface="Times New Roman" pitchFamily="18" charset="0"/>
                <a:ea typeface="맑은 고딕" pitchFamily="50" charset="-127"/>
                <a:cs typeface="Times New Roman" pitchFamily="18" charset="0"/>
              </a:endParaRPr>
            </a:p>
          </xdr:txBody>
        </xdr:sp>
      </xdr:grpSp>
      <xdr:grpSp>
        <xdr:nvGrpSpPr>
          <xdr:cNvPr id="24" name="그룹 39">
            <a:extLst>
              <a:ext uri="{FF2B5EF4-FFF2-40B4-BE49-F238E27FC236}">
                <a16:creationId xmlns:a16="http://schemas.microsoft.com/office/drawing/2014/main" id="{00000000-0008-0000-1100-000018000000}"/>
              </a:ext>
            </a:extLst>
          </xdr:cNvPr>
          <xdr:cNvGrpSpPr>
            <a:grpSpLocks/>
          </xdr:cNvGrpSpPr>
        </xdr:nvGrpSpPr>
        <xdr:grpSpPr bwMode="auto">
          <a:xfrm rot="5400000">
            <a:off x="7452973" y="2621929"/>
            <a:ext cx="1531380" cy="416877"/>
            <a:chOff x="6989832" y="3265204"/>
            <a:chExt cx="1531380" cy="416877"/>
          </a:xfrm>
        </xdr:grpSpPr>
        <xdr:cxnSp macro="">
          <xdr:nvCxnSpPr>
            <xdr:cNvPr id="25" name="직선 화살표 연결선 59">
              <a:extLst>
                <a:ext uri="{FF2B5EF4-FFF2-40B4-BE49-F238E27FC236}">
                  <a16:creationId xmlns:a16="http://schemas.microsoft.com/office/drawing/2014/main" id="{00000000-0008-0000-1100-00001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7422173" y="3465635"/>
              <a:ext cx="1099039" cy="0"/>
            </a:xfrm>
            <a:prstGeom prst="straightConnector1">
              <a:avLst/>
            </a:prstGeom>
            <a:noFill/>
            <a:ln w="25400" algn="ctr">
              <a:solidFill>
                <a:srgbClr val="0000FF"/>
              </a:solidFill>
              <a:round/>
              <a:headEnd type="triangle" w="lg" len="med"/>
              <a:tailEnd type="triangle" w="lg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26" name="직사각형 25">
              <a:extLst>
                <a:ext uri="{FF2B5EF4-FFF2-40B4-BE49-F238E27FC236}">
                  <a16:creationId xmlns:a16="http://schemas.microsoft.com/office/drawing/2014/main" id="{00000000-0008-0000-1100-00001A000000}"/>
                </a:ext>
              </a:extLst>
            </xdr:cNvPr>
            <xdr:cNvSpPr/>
          </xdr:nvSpPr>
          <xdr:spPr bwMode="auto">
            <a:xfrm>
              <a:off x="6989832" y="3265204"/>
              <a:ext cx="574641" cy="416877"/>
            </a:xfrm>
            <a:prstGeom prst="rect">
              <a:avLst/>
            </a:prstGeom>
            <a:noFill/>
            <a:ln w="12700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ctr"/>
              <a:r>
                <a:rPr lang="en-US" altLang="ko-KR" sz="1700" b="1" i="1">
                  <a:solidFill>
                    <a:srgbClr val="0000FF"/>
                  </a:solidFill>
                  <a:latin typeface="Times New Roman" pitchFamily="18" charset="0"/>
                  <a:ea typeface="맑은 고딕" pitchFamily="50" charset="-127"/>
                  <a:cs typeface="Times New Roman" pitchFamily="18" charset="0"/>
                </a:rPr>
                <a:t>P</a:t>
              </a:r>
              <a:r>
                <a:rPr lang="en-US" altLang="ko-KR" sz="1700" b="1" i="1" baseline="-25000">
                  <a:solidFill>
                    <a:srgbClr val="0000FF"/>
                  </a:solidFill>
                  <a:latin typeface="Times New Roman" pitchFamily="18" charset="0"/>
                  <a:ea typeface="맑은 고딕" pitchFamily="50" charset="-127"/>
                  <a:cs typeface="Times New Roman" pitchFamily="18" charset="0"/>
                </a:rPr>
                <a:t>2</a:t>
              </a:r>
              <a:endParaRPr lang="ko-KR" altLang="en-US" sz="1700" b="1" i="1" baseline="-25000">
                <a:solidFill>
                  <a:srgbClr val="0000FF"/>
                </a:solidFill>
                <a:latin typeface="Times New Roman" pitchFamily="18" charset="0"/>
                <a:ea typeface="맑은 고딕" pitchFamily="50" charset="-127"/>
                <a:cs typeface="Times New Roman" pitchFamily="18" charset="0"/>
              </a:endParaRPr>
            </a:p>
          </xdr:txBody>
        </xdr:sp>
      </xdr:grpSp>
    </xdr:grpSp>
    <xdr:clientData/>
  </xdr:twoCellAnchor>
  <xdr:twoCellAnchor editAs="oneCell">
    <xdr:from>
      <xdr:col>0</xdr:col>
      <xdr:colOff>205154</xdr:colOff>
      <xdr:row>13</xdr:row>
      <xdr:rowOff>117231</xdr:rowOff>
    </xdr:from>
    <xdr:to>
      <xdr:col>8</xdr:col>
      <xdr:colOff>408647</xdr:colOff>
      <xdr:row>24</xdr:row>
      <xdr:rowOff>92577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2688981"/>
          <a:ext cx="4856089" cy="2151442"/>
        </a:xfrm>
        <a:prstGeom prst="rect">
          <a:avLst/>
        </a:prstGeom>
        <a:noFill/>
        <a:ln w="12700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210820</xdr:colOff>
      <xdr:row>24</xdr:row>
      <xdr:rowOff>138360</xdr:rowOff>
    </xdr:from>
    <xdr:to>
      <xdr:col>6</xdr:col>
      <xdr:colOff>265772</xdr:colOff>
      <xdr:row>37</xdr:row>
      <xdr:rowOff>25501</xdr:rowOff>
    </xdr:to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960"/>
        <a:stretch/>
      </xdr:blipFill>
      <xdr:spPr bwMode="auto">
        <a:xfrm>
          <a:off x="210820" y="4886206"/>
          <a:ext cx="3447317" cy="2458891"/>
        </a:xfrm>
        <a:prstGeom prst="rect">
          <a:avLst/>
        </a:prstGeom>
        <a:noFill/>
        <a:ln w="12700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487514</xdr:colOff>
      <xdr:row>15</xdr:row>
      <xdr:rowOff>87922</xdr:rowOff>
    </xdr:from>
    <xdr:to>
      <xdr:col>11</xdr:col>
      <xdr:colOff>113371</xdr:colOff>
      <xdr:row>36</xdr:row>
      <xdr:rowOff>68872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0110" y="3055326"/>
          <a:ext cx="1516203" cy="4135315"/>
        </a:xfrm>
        <a:prstGeom prst="rect">
          <a:avLst/>
        </a:prstGeom>
        <a:noFill/>
        <a:ln w="12700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12</xdr:col>
      <xdr:colOff>38544</xdr:colOff>
      <xdr:row>1</xdr:row>
      <xdr:rowOff>130164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2712" y="0"/>
          <a:ext cx="1540563" cy="327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57150</xdr:rowOff>
        </xdr:from>
        <xdr:to>
          <xdr:col>6</xdr:col>
          <xdr:colOff>238125</xdr:colOff>
          <xdr:row>42</xdr:row>
          <xdr:rowOff>9525</xdr:rowOff>
        </xdr:to>
        <xdr:sp macro="" textlink="">
          <xdr:nvSpPr>
            <xdr:cNvPr id="109569" name="Object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1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0</xdr:colOff>
      <xdr:row>31</xdr:row>
      <xdr:rowOff>197826</xdr:rowOff>
    </xdr:from>
    <xdr:to>
      <xdr:col>11</xdr:col>
      <xdr:colOff>304426</xdr:colOff>
      <xdr:row>42</xdr:row>
      <xdr:rowOff>137392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6598626"/>
          <a:ext cx="2819026" cy="2139841"/>
        </a:xfrm>
        <a:prstGeom prst="rect">
          <a:avLst/>
        </a:prstGeom>
      </xdr:spPr>
    </xdr:pic>
    <xdr:clientData/>
  </xdr:twoCellAnchor>
  <xdr:twoCellAnchor>
    <xdr:from>
      <xdr:col>1</xdr:col>
      <xdr:colOff>3663</xdr:colOff>
      <xdr:row>0</xdr:row>
      <xdr:rowOff>366346</xdr:rowOff>
    </xdr:from>
    <xdr:to>
      <xdr:col>12</xdr:col>
      <xdr:colOff>47625</xdr:colOff>
      <xdr:row>1</xdr:row>
      <xdr:rowOff>48408</xdr:rowOff>
    </xdr:to>
    <xdr:grpSp>
      <xdr:nvGrpSpPr>
        <xdr:cNvPr id="8" name="그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243859" y="366346"/>
          <a:ext cx="6405005" cy="79627"/>
          <a:chOff x="236963" y="752128"/>
          <a:chExt cx="6321635" cy="92637"/>
        </a:xfrm>
      </xdr:grpSpPr>
      <xdr:cxnSp macro="">
        <xdr:nvCxnSpPr>
          <xdr:cNvPr id="9" name="직선 연결선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36963" y="799171"/>
            <a:ext cx="6264430" cy="0"/>
          </a:xfrm>
          <a:prstGeom prst="line">
            <a:avLst/>
          </a:prstGeom>
          <a:noFill/>
          <a:ln w="1905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0" name="순서도: 연결자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 bwMode="auto">
          <a:xfrm>
            <a:off x="6473933" y="752128"/>
            <a:ext cx="84665" cy="92637"/>
          </a:xfrm>
          <a:prstGeom prst="flowChartConnector">
            <a:avLst/>
          </a:prstGeom>
          <a:solidFill>
            <a:srgbClr val="FF0000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ko-KR" altLang="en-US" sz="1200" b="1">
              <a:latin typeface="맑은 고딕" pitchFamily="50" charset="-127"/>
              <a:ea typeface="맑은 고딕" pitchFamily="50" charset="-127"/>
            </a:endParaRPr>
          </a:p>
        </xdr:txBody>
      </xdr:sp>
    </xdr:grpSp>
    <xdr:clientData/>
  </xdr:twoCellAnchor>
  <xdr:twoCellAnchor editAs="oneCell">
    <xdr:from>
      <xdr:col>9</xdr:col>
      <xdr:colOff>372718</xdr:colOff>
      <xdr:row>0</xdr:row>
      <xdr:rowOff>41413</xdr:rowOff>
    </xdr:from>
    <xdr:to>
      <xdr:col>12</xdr:col>
      <xdr:colOff>198781</xdr:colOff>
      <xdr:row>0</xdr:row>
      <xdr:rowOff>369404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457" y="41413"/>
          <a:ext cx="1540563" cy="327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186774</xdr:rowOff>
    </xdr:from>
    <xdr:to>
      <xdr:col>12</xdr:col>
      <xdr:colOff>47625</xdr:colOff>
      <xdr:row>2</xdr:row>
      <xdr:rowOff>72474</xdr:rowOff>
    </xdr:to>
    <xdr:grpSp>
      <xdr:nvGrpSpPr>
        <xdr:cNvPr id="6" name="그룹 1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235324" y="433303"/>
          <a:ext cx="6390154" cy="132230"/>
          <a:chOff x="236963" y="752128"/>
          <a:chExt cx="6321635" cy="92637"/>
        </a:xfrm>
      </xdr:grpSpPr>
      <xdr:cxnSp macro="">
        <xdr:nvCxnSpPr>
          <xdr:cNvPr id="7" name="직선 연결선 15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36963" y="799171"/>
            <a:ext cx="6264430" cy="0"/>
          </a:xfrm>
          <a:prstGeom prst="line">
            <a:avLst/>
          </a:prstGeom>
          <a:noFill/>
          <a:ln w="1905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" name="순서도: 연결자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 bwMode="auto">
          <a:xfrm>
            <a:off x="6473933" y="752128"/>
            <a:ext cx="84665" cy="92637"/>
          </a:xfrm>
          <a:prstGeom prst="flowChartConnector">
            <a:avLst/>
          </a:prstGeom>
          <a:solidFill>
            <a:srgbClr val="FF0000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ko-KR" altLang="en-US" sz="1200" b="1">
              <a:latin typeface="맑은 고딕" pitchFamily="50" charset="-127"/>
              <a:ea typeface="맑은 고딕" pitchFamily="50" charset="-127"/>
            </a:endParaRPr>
          </a:p>
        </xdr:txBody>
      </xdr:sp>
    </xdr:grpSp>
    <xdr:clientData/>
  </xdr:twoCellAnchor>
  <xdr:twoCellAnchor editAs="oneCell">
    <xdr:from>
      <xdr:col>9</xdr:col>
      <xdr:colOff>389285</xdr:colOff>
      <xdr:row>0</xdr:row>
      <xdr:rowOff>66262</xdr:rowOff>
    </xdr:from>
    <xdr:to>
      <xdr:col>12</xdr:col>
      <xdr:colOff>215348</xdr:colOff>
      <xdr:row>1</xdr:row>
      <xdr:rowOff>145775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024" y="66262"/>
          <a:ext cx="1540563" cy="3279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404892</xdr:colOff>
      <xdr:row>21</xdr:row>
      <xdr:rowOff>49698</xdr:rowOff>
    </xdr:from>
    <xdr:to>
      <xdr:col>4</xdr:col>
      <xdr:colOff>355252</xdr:colOff>
      <xdr:row>32</xdr:row>
      <xdr:rowOff>152690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1667" y="4250223"/>
          <a:ext cx="1207660" cy="2303267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8" name="Line 2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H="1">
          <a:off x="149542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175845</xdr:colOff>
      <xdr:row>25</xdr:row>
      <xdr:rowOff>131884</xdr:rowOff>
    </xdr:from>
    <xdr:to>
      <xdr:col>10</xdr:col>
      <xdr:colOff>537318</xdr:colOff>
      <xdr:row>41</xdr:row>
      <xdr:rowOff>0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557" y="5077557"/>
          <a:ext cx="2874607" cy="3033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107672</xdr:colOff>
      <xdr:row>1</xdr:row>
      <xdr:rowOff>129208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087" y="0"/>
          <a:ext cx="1540563" cy="3279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419546</xdr:colOff>
      <xdr:row>20</xdr:row>
      <xdr:rowOff>49698</xdr:rowOff>
    </xdr:from>
    <xdr:to>
      <xdr:col>4</xdr:col>
      <xdr:colOff>369906</xdr:colOff>
      <xdr:row>31</xdr:row>
      <xdr:rowOff>152689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6321" y="4250223"/>
          <a:ext cx="1207660" cy="230326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21</xdr:row>
      <xdr:rowOff>0</xdr:rowOff>
    </xdr:from>
    <xdr:to>
      <xdr:col>10</xdr:col>
      <xdr:colOff>456793</xdr:colOff>
      <xdr:row>32</xdr:row>
      <xdr:rowOff>91905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327" y="4352192"/>
          <a:ext cx="2149312" cy="22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10" name="Line 21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219809</xdr:colOff>
      <xdr:row>22</xdr:row>
      <xdr:rowOff>7327</xdr:rowOff>
    </xdr:from>
    <xdr:to>
      <xdr:col>6</xdr:col>
      <xdr:colOff>537538</xdr:colOff>
      <xdr:row>31</xdr:row>
      <xdr:rowOff>26883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886" y="4557346"/>
          <a:ext cx="1116364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107672</xdr:colOff>
      <xdr:row>1</xdr:row>
      <xdr:rowOff>129208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087" y="0"/>
          <a:ext cx="1540563" cy="3279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404892</xdr:colOff>
      <xdr:row>21</xdr:row>
      <xdr:rowOff>49698</xdr:rowOff>
    </xdr:from>
    <xdr:to>
      <xdr:col>4</xdr:col>
      <xdr:colOff>355252</xdr:colOff>
      <xdr:row>32</xdr:row>
      <xdr:rowOff>152690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1667" y="4250223"/>
          <a:ext cx="1207660" cy="2303267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131885</xdr:colOff>
      <xdr:row>25</xdr:row>
      <xdr:rowOff>80596</xdr:rowOff>
    </xdr:from>
    <xdr:to>
      <xdr:col>10</xdr:col>
      <xdr:colOff>498751</xdr:colOff>
      <xdr:row>40</xdr:row>
      <xdr:rowOff>160189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597" y="5026269"/>
          <a:ext cx="2880000" cy="304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107672</xdr:colOff>
      <xdr:row>1</xdr:row>
      <xdr:rowOff>129208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087" y="0"/>
          <a:ext cx="1540563" cy="3279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419546</xdr:colOff>
      <xdr:row>20</xdr:row>
      <xdr:rowOff>49698</xdr:rowOff>
    </xdr:from>
    <xdr:to>
      <xdr:col>4</xdr:col>
      <xdr:colOff>369906</xdr:colOff>
      <xdr:row>31</xdr:row>
      <xdr:rowOff>152689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6321" y="4250223"/>
          <a:ext cx="1207660" cy="230326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102576</xdr:colOff>
      <xdr:row>21</xdr:row>
      <xdr:rowOff>0</xdr:rowOff>
    </xdr:from>
    <xdr:to>
      <xdr:col>10</xdr:col>
      <xdr:colOff>517826</xdr:colOff>
      <xdr:row>33</xdr:row>
      <xdr:rowOff>57613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0403" y="4352192"/>
          <a:ext cx="2298269" cy="2431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175846</xdr:colOff>
      <xdr:row>22</xdr:row>
      <xdr:rowOff>0</xdr:rowOff>
    </xdr:from>
    <xdr:to>
      <xdr:col>6</xdr:col>
      <xdr:colOff>493575</xdr:colOff>
      <xdr:row>31</xdr:row>
      <xdr:rowOff>19556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923" y="4550019"/>
          <a:ext cx="1116364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107672</xdr:colOff>
      <xdr:row>1</xdr:row>
      <xdr:rowOff>129208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087" y="0"/>
          <a:ext cx="1540563" cy="3279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153866</xdr:colOff>
      <xdr:row>24</xdr:row>
      <xdr:rowOff>7327</xdr:rowOff>
    </xdr:from>
    <xdr:to>
      <xdr:col>10</xdr:col>
      <xdr:colOff>462116</xdr:colOff>
      <xdr:row>41</xdr:row>
      <xdr:rowOff>168932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6231" y="4755173"/>
          <a:ext cx="2880000" cy="352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404892</xdr:colOff>
      <xdr:row>21</xdr:row>
      <xdr:rowOff>49698</xdr:rowOff>
    </xdr:from>
    <xdr:to>
      <xdr:col>4</xdr:col>
      <xdr:colOff>355252</xdr:colOff>
      <xdr:row>32</xdr:row>
      <xdr:rowOff>152690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6796" y="4204063"/>
          <a:ext cx="1203264" cy="227908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107672</xdr:colOff>
      <xdr:row>1</xdr:row>
      <xdr:rowOff>129208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783" y="0"/>
          <a:ext cx="1540563" cy="3279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419546</xdr:colOff>
      <xdr:row>20</xdr:row>
      <xdr:rowOff>49698</xdr:rowOff>
    </xdr:from>
    <xdr:to>
      <xdr:col>4</xdr:col>
      <xdr:colOff>369906</xdr:colOff>
      <xdr:row>31</xdr:row>
      <xdr:rowOff>152689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1450" y="4204063"/>
          <a:ext cx="1203264" cy="227908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131884</xdr:colOff>
      <xdr:row>21</xdr:row>
      <xdr:rowOff>168519</xdr:rowOff>
    </xdr:from>
    <xdr:to>
      <xdr:col>10</xdr:col>
      <xdr:colOff>488548</xdr:colOff>
      <xdr:row>35</xdr:row>
      <xdr:rowOff>146952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9711" y="4520711"/>
          <a:ext cx="2239683" cy="2748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183173</xdr:colOff>
      <xdr:row>22</xdr:row>
      <xdr:rowOff>0</xdr:rowOff>
    </xdr:from>
    <xdr:to>
      <xdr:col>6</xdr:col>
      <xdr:colOff>500902</xdr:colOff>
      <xdr:row>31</xdr:row>
      <xdr:rowOff>19556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550019"/>
          <a:ext cx="1116364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107672</xdr:colOff>
      <xdr:row>1</xdr:row>
      <xdr:rowOff>129208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087" y="0"/>
          <a:ext cx="1540563" cy="3279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8512;&#51116;&#49444;&#44228;\&#48380;&#53944;&amp;&#54540;&#47112;&#51060;&#53944;&amp;&#50857;&#51217;\&#47732;&#45236;&#48169;&#54693;%20&#54540;&#47112;&#51060;&#53944;%20&amp;%20&#50857;&#51217;(&#50672;&#44208;&#45796;&#47532;&#48512;&#48516;BR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&#44608;&#44600;&#50724;\Desktop\00-&#49884;&#51089;\CONNECTION%20(&#54728;&#52268;&#44508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1060;&#44397;&#54872;\&#50577;&#49885;\03.%20&#48372;&#44256;&#49436;%20&#49688;&#51221;%20&#50577;&#49885;\CONNECTION%20(&#54728;&#52268;&#4450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46041;&#50896;\2014&#54532;&#47196;&#51229;&#53944;\&#44256;&#51064;&#46028;\01.%20&#54028;&#51452;%20&#49345;&#51648;&#49437;&#46041;%20&#44277;&#51109;\CONNECTION%20(&#54728;&#52268;&#4450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W1"/>
      <sheetName val="W2"/>
      <sheetName val="SC"/>
      <sheetName val="BO"/>
    </sheetNames>
    <sheetDataSet>
      <sheetData sheetId="0">
        <row r="62">
          <cell r="AB62">
            <v>1</v>
          </cell>
          <cell r="AC62">
            <v>2</v>
          </cell>
          <cell r="AD62">
            <v>3</v>
          </cell>
          <cell r="AE62">
            <v>4</v>
          </cell>
          <cell r="AF62">
            <v>5</v>
          </cell>
          <cell r="AG62">
            <v>6</v>
          </cell>
        </row>
        <row r="66">
          <cell r="N66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W1"/>
      <sheetName val="W2"/>
      <sheetName val="SC"/>
      <sheetName val="BO"/>
    </sheetNames>
    <sheetDataSet>
      <sheetData sheetId="0">
        <row r="62">
          <cell r="AB62">
            <v>1</v>
          </cell>
          <cell r="AC62">
            <v>2</v>
          </cell>
          <cell r="AD62">
            <v>3</v>
          </cell>
          <cell r="AE62">
            <v>4</v>
          </cell>
          <cell r="AF62">
            <v>5</v>
          </cell>
          <cell r="AG62">
            <v>6</v>
          </cell>
        </row>
        <row r="66">
          <cell r="N66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W1"/>
      <sheetName val="W2"/>
      <sheetName val="SC"/>
      <sheetName val="BO"/>
    </sheetNames>
    <sheetDataSet>
      <sheetData sheetId="0">
        <row r="62">
          <cell r="AB62">
            <v>1</v>
          </cell>
          <cell r="AC62">
            <v>2</v>
          </cell>
          <cell r="AD62">
            <v>3</v>
          </cell>
          <cell r="AE62">
            <v>4</v>
          </cell>
          <cell r="AF62">
            <v>5</v>
          </cell>
          <cell r="AG62">
            <v>6</v>
          </cell>
        </row>
        <row r="66">
          <cell r="N66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4FFD-1D95-4912-AD84-3BA1BDCA941A}">
  <sheetPr codeName="Sheet1">
    <tabColor rgb="FFC00000"/>
  </sheetPr>
  <dimension ref="A1:AH156"/>
  <sheetViews>
    <sheetView view="pageBreakPreview" zoomScaleNormal="100" zoomScaleSheetLayoutView="100" workbookViewId="0">
      <selection activeCell="F22" sqref="F22:F25"/>
    </sheetView>
  </sheetViews>
  <sheetFormatPr defaultColWidth="5.77734375" defaultRowHeight="14.25" x14ac:dyDescent="0.15"/>
  <cols>
    <col min="1" max="2" width="2.77734375" style="651" customWidth="1"/>
    <col min="3" max="9" width="7.33203125" style="651" customWidth="1"/>
    <col min="10" max="11" width="7.33203125" style="652" customWidth="1"/>
    <col min="12" max="12" width="5.33203125" style="652" customWidth="1"/>
    <col min="13" max="13" width="2.77734375" style="652" customWidth="1"/>
    <col min="14" max="20" width="6.77734375" style="651" hidden="1" customWidth="1"/>
    <col min="21" max="24" width="7.5546875" style="651" hidden="1" customWidth="1"/>
    <col min="25" max="25" width="6.77734375" style="651" hidden="1" customWidth="1"/>
    <col min="26" max="26" width="3.77734375" style="651" hidden="1" customWidth="1"/>
    <col min="27" max="27" width="4.77734375" style="651" hidden="1" customWidth="1"/>
    <col min="28" max="28" width="6.77734375" style="651" hidden="1" customWidth="1"/>
    <col min="29" max="29" width="51.33203125" style="651" hidden="1" customWidth="1"/>
    <col min="30" max="31" width="3.77734375" style="651" hidden="1" customWidth="1"/>
    <col min="32" max="33" width="6.77734375" style="651" hidden="1" customWidth="1"/>
    <col min="34" max="34" width="5.77734375" style="651" hidden="1" customWidth="1"/>
    <col min="35" max="16384" width="5.77734375" style="651"/>
  </cols>
  <sheetData>
    <row r="1" spans="1:33" s="537" customFormat="1" ht="32.1" customHeight="1" x14ac:dyDescent="0.15">
      <c r="A1" s="535"/>
      <c r="B1" s="536" t="s">
        <v>460</v>
      </c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33" s="537" customFormat="1" ht="15.95" customHeight="1" x14ac:dyDescent="0.15">
      <c r="A2" s="535"/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</row>
    <row r="3" spans="1:33" s="1" customFormat="1" ht="15.95" customHeight="1" x14ac:dyDescent="0.15">
      <c r="B3" s="538" t="s">
        <v>15</v>
      </c>
      <c r="C3" s="539" t="s">
        <v>1095</v>
      </c>
      <c r="I3" s="540"/>
      <c r="Y3" s="537" t="s">
        <v>13</v>
      </c>
      <c r="Z3" s="541">
        <f t="shared" ref="Z3:Z51" si="0">ROUNDDOWN(COUNT(AD3),0)</f>
        <v>0</v>
      </c>
      <c r="AA3" s="541">
        <v>30</v>
      </c>
      <c r="AB3" s="541" t="s">
        <v>14</v>
      </c>
      <c r="AC3" s="542" t="s">
        <v>461</v>
      </c>
      <c r="AD3" s="541" t="e">
        <f t="shared" ref="AD3:AD52" si="1">FIND($O$9,AC3,1)</f>
        <v>#VALUE!</v>
      </c>
      <c r="AE3" s="541">
        <f t="shared" ref="AE3:AE52" si="2">Z3*AA3</f>
        <v>0</v>
      </c>
      <c r="AF3" s="543" t="str">
        <f>IF(AE3=0,"",AB3)</f>
        <v/>
      </c>
      <c r="AG3" s="544" t="str">
        <f t="shared" ref="AG3:AG6" si="3">IF(AE3=0,"",MID(AC3,AD3,4))</f>
        <v/>
      </c>
    </row>
    <row r="4" spans="1:33" s="1" customFormat="1" ht="15.95" customHeight="1" x14ac:dyDescent="0.15">
      <c r="A4" s="545"/>
      <c r="C4" s="546"/>
      <c r="Y4" s="537"/>
      <c r="Z4" s="541">
        <f t="shared" si="0"/>
        <v>0</v>
      </c>
      <c r="AA4" s="541">
        <v>28</v>
      </c>
      <c r="AB4" s="541" t="s">
        <v>14</v>
      </c>
      <c r="AC4" s="542" t="s">
        <v>462</v>
      </c>
      <c r="AD4" s="541" t="e">
        <f t="shared" si="1"/>
        <v>#VALUE!</v>
      </c>
      <c r="AE4" s="541">
        <f t="shared" si="2"/>
        <v>0</v>
      </c>
      <c r="AF4" s="543" t="str">
        <f t="shared" ref="AF4:AF35" si="4">IF(AE4=0,"",AB4)</f>
        <v/>
      </c>
      <c r="AG4" s="544" t="str">
        <f t="shared" si="3"/>
        <v/>
      </c>
    </row>
    <row r="5" spans="1:33" s="547" customFormat="1" ht="15.95" customHeight="1" x14ac:dyDescent="0.15">
      <c r="B5" s="548" t="s">
        <v>17</v>
      </c>
      <c r="C5" s="547" t="s">
        <v>627</v>
      </c>
      <c r="Y5" s="549"/>
      <c r="Z5" s="541">
        <f t="shared" si="0"/>
        <v>1</v>
      </c>
      <c r="AA5" s="541">
        <v>26</v>
      </c>
      <c r="AB5" s="541" t="s">
        <v>14</v>
      </c>
      <c r="AC5" s="542" t="s">
        <v>463</v>
      </c>
      <c r="AD5" s="541">
        <f t="shared" si="1"/>
        <v>1</v>
      </c>
      <c r="AE5" s="541">
        <f t="shared" si="2"/>
        <v>26</v>
      </c>
      <c r="AF5" s="543" t="str">
        <f t="shared" si="4"/>
        <v>경기도</v>
      </c>
      <c r="AG5" s="544" t="str">
        <f t="shared" si="3"/>
        <v xml:space="preserve">서울시 </v>
      </c>
    </row>
    <row r="6" spans="1:33" s="549" customFormat="1" ht="15.95" customHeight="1" x14ac:dyDescent="0.15">
      <c r="B6" s="548"/>
      <c r="C6" s="547"/>
      <c r="Y6" s="1"/>
      <c r="Z6" s="541">
        <f t="shared" si="0"/>
        <v>0</v>
      </c>
      <c r="AA6" s="541">
        <v>26</v>
      </c>
      <c r="AB6" s="541" t="s">
        <v>14</v>
      </c>
      <c r="AC6" s="542" t="s">
        <v>1436</v>
      </c>
      <c r="AD6" s="541" t="e">
        <f t="shared" si="1"/>
        <v>#VALUE!</v>
      </c>
      <c r="AE6" s="541">
        <f t="shared" si="2"/>
        <v>0</v>
      </c>
      <c r="AF6" s="543" t="str">
        <f t="shared" si="4"/>
        <v/>
      </c>
      <c r="AG6" s="544" t="str">
        <f t="shared" si="3"/>
        <v/>
      </c>
    </row>
    <row r="7" spans="1:33" s="549" customFormat="1" ht="15.95" customHeight="1" x14ac:dyDescent="0.15">
      <c r="B7" s="2" t="s">
        <v>628</v>
      </c>
      <c r="Y7" s="1"/>
      <c r="Z7" s="541">
        <f t="shared" si="0"/>
        <v>0</v>
      </c>
      <c r="AA7" s="541">
        <v>26</v>
      </c>
      <c r="AB7" s="541" t="s">
        <v>14</v>
      </c>
      <c r="AC7" s="542" t="s">
        <v>1435</v>
      </c>
      <c r="AD7" s="541" t="e">
        <f t="shared" si="1"/>
        <v>#VALUE!</v>
      </c>
      <c r="AE7" s="541">
        <f t="shared" si="2"/>
        <v>0</v>
      </c>
      <c r="AF7" s="543" t="str">
        <f>IF(OR(AE7=0,O10=2),"",AB7)</f>
        <v/>
      </c>
      <c r="AG7" s="544" t="str">
        <f>IF(OR(AE7=0,O10=2),"",IF(AE7=0,"",MID(AC7,AD7,4)))</f>
        <v/>
      </c>
    </row>
    <row r="8" spans="1:33" s="549" customFormat="1" ht="15.95" customHeight="1" x14ac:dyDescent="0.15">
      <c r="B8" s="2"/>
      <c r="Y8" s="1"/>
      <c r="Z8" s="541">
        <f t="shared" si="0"/>
        <v>0</v>
      </c>
      <c r="AA8" s="541">
        <v>24</v>
      </c>
      <c r="AB8" s="541" t="s">
        <v>14</v>
      </c>
      <c r="AC8" s="542" t="s">
        <v>464</v>
      </c>
      <c r="AD8" s="541" t="e">
        <f t="shared" si="1"/>
        <v>#VALUE!</v>
      </c>
      <c r="AE8" s="541">
        <f t="shared" si="2"/>
        <v>0</v>
      </c>
      <c r="AF8" s="543" t="str">
        <f t="shared" si="4"/>
        <v/>
      </c>
      <c r="AG8" s="544" t="str">
        <f>IF(AE8=0,"",MID(AC8,AD8,4))</f>
        <v/>
      </c>
    </row>
    <row r="9" spans="1:33" s="1" customFormat="1" ht="15.95" customHeight="1" x14ac:dyDescent="0.15">
      <c r="B9" s="538" t="s">
        <v>15</v>
      </c>
      <c r="C9" s="1" t="s">
        <v>22</v>
      </c>
      <c r="E9" s="550" t="s">
        <v>23</v>
      </c>
      <c r="F9" s="551" t="str">
        <f>O15</f>
        <v>서울</v>
      </c>
      <c r="G9" s="540" t="str">
        <f>P15</f>
        <v>특별시</v>
      </c>
      <c r="N9" s="537" t="s">
        <v>12</v>
      </c>
      <c r="O9" s="552" t="str">
        <f>'WIND LOAD'!O9</f>
        <v>서울</v>
      </c>
      <c r="P9" s="537"/>
      <c r="Q9" s="553"/>
      <c r="Y9" s="547"/>
      <c r="Z9" s="541">
        <f t="shared" si="0"/>
        <v>0</v>
      </c>
      <c r="AA9" s="541">
        <v>34</v>
      </c>
      <c r="AB9" s="541" t="s">
        <v>16</v>
      </c>
      <c r="AC9" s="542" t="s">
        <v>465</v>
      </c>
      <c r="AD9" s="541" t="e">
        <f t="shared" si="1"/>
        <v>#VALUE!</v>
      </c>
      <c r="AE9" s="541">
        <f t="shared" si="2"/>
        <v>0</v>
      </c>
      <c r="AF9" s="543" t="str">
        <f>IF(OR(AE9=0,O10=4),"",AB9)</f>
        <v/>
      </c>
      <c r="AG9" s="544" t="str">
        <f>IF(OR(AE9=0,O10=4),"",IF(AE9=0,"",MID(AC9,AD9,4)))</f>
        <v/>
      </c>
    </row>
    <row r="10" spans="1:33" s="1" customFormat="1" ht="15.95" customHeight="1" x14ac:dyDescent="0.15">
      <c r="B10" s="538" t="s">
        <v>15</v>
      </c>
      <c r="C10" s="1" t="s">
        <v>629</v>
      </c>
      <c r="E10" s="550" t="s">
        <v>23</v>
      </c>
      <c r="F10" s="554">
        <f>'WIND LOAD'!F9</f>
        <v>10</v>
      </c>
      <c r="G10" s="555" t="s">
        <v>24</v>
      </c>
      <c r="H10" s="539"/>
      <c r="I10" s="539"/>
      <c r="N10" s="556" t="str">
        <f>IF(O9="광주","광주일때",IF(O9="고성","고성일때","빈칸일것"))</f>
        <v>빈칸일것</v>
      </c>
      <c r="O10" s="552">
        <f>'WIND LOAD'!O10</f>
        <v>0</v>
      </c>
      <c r="P10" s="537"/>
      <c r="Y10" s="549"/>
      <c r="Z10" s="541">
        <f t="shared" si="0"/>
        <v>0</v>
      </c>
      <c r="AA10" s="541">
        <v>30</v>
      </c>
      <c r="AB10" s="541" t="s">
        <v>16</v>
      </c>
      <c r="AC10" s="542" t="s">
        <v>466</v>
      </c>
      <c r="AD10" s="541" t="e">
        <f t="shared" si="1"/>
        <v>#VALUE!</v>
      </c>
      <c r="AE10" s="541">
        <f t="shared" si="2"/>
        <v>0</v>
      </c>
      <c r="AF10" s="543" t="str">
        <f t="shared" si="4"/>
        <v/>
      </c>
      <c r="AG10" s="544" t="str">
        <f t="shared" ref="AG10:AG35" si="5">IF(AE10=0,"",MID(AC10,AD10,4))</f>
        <v/>
      </c>
    </row>
    <row r="11" spans="1:33" s="1" customFormat="1" ht="15.95" customHeight="1" x14ac:dyDescent="0.15">
      <c r="B11" s="538" t="s">
        <v>15</v>
      </c>
      <c r="C11" s="1" t="s">
        <v>470</v>
      </c>
      <c r="E11" s="550" t="s">
        <v>23</v>
      </c>
      <c r="F11" s="554">
        <f>'WIND LOAD'!F10</f>
        <v>10</v>
      </c>
      <c r="G11" s="555" t="s">
        <v>24</v>
      </c>
      <c r="H11" s="539"/>
      <c r="I11" s="539"/>
      <c r="N11" s="557" t="str">
        <f>IF(O9="광주",1,IF(O9="고성",3,"-"))</f>
        <v>-</v>
      </c>
      <c r="O11" s="557" t="str">
        <f>IF(O9="광주","경기",IF(O9="고성","강원","-"))</f>
        <v>-</v>
      </c>
      <c r="P11" s="549"/>
      <c r="Y11" s="549"/>
      <c r="Z11" s="541">
        <f t="shared" si="0"/>
        <v>0</v>
      </c>
      <c r="AA11" s="541">
        <v>26</v>
      </c>
      <c r="AB11" s="541" t="s">
        <v>16</v>
      </c>
      <c r="AC11" s="542" t="s">
        <v>467</v>
      </c>
      <c r="AD11" s="541" t="e">
        <f t="shared" si="1"/>
        <v>#VALUE!</v>
      </c>
      <c r="AE11" s="541">
        <f t="shared" si="2"/>
        <v>0</v>
      </c>
      <c r="AF11" s="543" t="str">
        <f t="shared" si="4"/>
        <v/>
      </c>
      <c r="AG11" s="544" t="str">
        <f t="shared" si="5"/>
        <v/>
      </c>
    </row>
    <row r="12" spans="1:33" s="1" customFormat="1" ht="15.95" customHeight="1" x14ac:dyDescent="0.15">
      <c r="B12" s="538" t="s">
        <v>15</v>
      </c>
      <c r="C12" s="1" t="s">
        <v>25</v>
      </c>
      <c r="E12" s="550" t="s">
        <v>23</v>
      </c>
      <c r="F12" s="558">
        <f>O14</f>
        <v>26</v>
      </c>
      <c r="G12" s="539" t="s">
        <v>26</v>
      </c>
      <c r="H12" s="539"/>
      <c r="I12" s="539"/>
      <c r="N12" s="557" t="str">
        <f>IF(O9="광주",2,IF(O9="고성",4,"-"))</f>
        <v>-</v>
      </c>
      <c r="O12" s="559" t="str">
        <f>IF(O9="광주","전라",IF(O9="고성","경상","-"))</f>
        <v>-</v>
      </c>
      <c r="Y12" s="549"/>
      <c r="Z12" s="541">
        <f t="shared" si="0"/>
        <v>0</v>
      </c>
      <c r="AA12" s="541">
        <v>24</v>
      </c>
      <c r="AB12" s="541" t="s">
        <v>16</v>
      </c>
      <c r="AC12" s="542" t="s">
        <v>469</v>
      </c>
      <c r="AD12" s="541" t="e">
        <f t="shared" si="1"/>
        <v>#VALUE!</v>
      </c>
      <c r="AE12" s="541">
        <f t="shared" si="2"/>
        <v>0</v>
      </c>
      <c r="AF12" s="543" t="str">
        <f t="shared" si="4"/>
        <v/>
      </c>
      <c r="AG12" s="544" t="str">
        <f t="shared" si="5"/>
        <v/>
      </c>
    </row>
    <row r="13" spans="1:33" s="1" customFormat="1" ht="15.95" customHeight="1" x14ac:dyDescent="0.15">
      <c r="B13" s="538" t="s">
        <v>15</v>
      </c>
      <c r="C13" s="1" t="s">
        <v>27</v>
      </c>
      <c r="E13" s="550" t="s">
        <v>23</v>
      </c>
      <c r="F13" s="554" t="str">
        <f>'WIND LOAD'!F12</f>
        <v>C</v>
      </c>
      <c r="G13" s="539"/>
      <c r="H13" s="539"/>
      <c r="I13" s="539"/>
      <c r="P13" s="553"/>
      <c r="Y13" s="549"/>
      <c r="Z13" s="541">
        <f t="shared" si="0"/>
        <v>0</v>
      </c>
      <c r="AA13" s="541">
        <v>30</v>
      </c>
      <c r="AB13" s="560" t="s">
        <v>471</v>
      </c>
      <c r="AC13" s="542" t="s">
        <v>472</v>
      </c>
      <c r="AD13" s="541" t="e">
        <f t="shared" si="1"/>
        <v>#VALUE!</v>
      </c>
      <c r="AE13" s="541">
        <f t="shared" si="2"/>
        <v>0</v>
      </c>
      <c r="AF13" s="543" t="str">
        <f t="shared" si="4"/>
        <v/>
      </c>
      <c r="AG13" s="544" t="str">
        <f t="shared" si="5"/>
        <v/>
      </c>
    </row>
    <row r="14" spans="1:33" s="1" customFormat="1" ht="15.95" customHeight="1" x14ac:dyDescent="0.15">
      <c r="B14" s="538" t="s">
        <v>15</v>
      </c>
      <c r="C14" s="1" t="s">
        <v>28</v>
      </c>
      <c r="E14" s="550" t="s">
        <v>23</v>
      </c>
      <c r="F14" s="561">
        <f>'WIND LOAD'!F13</f>
        <v>1</v>
      </c>
      <c r="G14" s="539"/>
      <c r="H14" s="539"/>
      <c r="I14" s="539"/>
      <c r="N14" s="1" t="s">
        <v>19</v>
      </c>
      <c r="O14" s="562">
        <f>IF(O9="광주",IF(O10=1,26,IF(O10=2,26,"타입입력")),IF(O9="고성",IF(O10=3,34,IF(O10=4,32,"타입입력")),SUM(AE3:AE52)))</f>
        <v>26</v>
      </c>
      <c r="P14" s="553"/>
      <c r="Z14" s="541">
        <f t="shared" si="0"/>
        <v>0</v>
      </c>
      <c r="AA14" s="541">
        <v>28</v>
      </c>
      <c r="AB14" s="560" t="s">
        <v>471</v>
      </c>
      <c r="AC14" s="542" t="s">
        <v>473</v>
      </c>
      <c r="AD14" s="541" t="e">
        <f t="shared" si="1"/>
        <v>#VALUE!</v>
      </c>
      <c r="AE14" s="541">
        <f t="shared" si="2"/>
        <v>0</v>
      </c>
      <c r="AF14" s="543" t="str">
        <f t="shared" si="4"/>
        <v/>
      </c>
      <c r="AG14" s="544" t="str">
        <f t="shared" si="5"/>
        <v/>
      </c>
    </row>
    <row r="15" spans="1:33" s="1" customFormat="1" ht="15.95" customHeight="1" x14ac:dyDescent="0.15">
      <c r="B15" s="538" t="s">
        <v>15</v>
      </c>
      <c r="C15" s="1" t="s">
        <v>29</v>
      </c>
      <c r="E15" s="550" t="s">
        <v>23</v>
      </c>
      <c r="F15" s="561">
        <f>'WIND LOAD'!F14</f>
        <v>1</v>
      </c>
      <c r="G15" s="539"/>
      <c r="H15" s="539"/>
      <c r="I15" s="539"/>
      <c r="N15" s="1" t="s">
        <v>20</v>
      </c>
      <c r="O15" s="563" t="str">
        <f>IF(OR(O9="인천",O10=2,O9="대전",O9="부산",O9="대구",O9="울산",O9="세종",O9="서울"),O9,AF53)</f>
        <v>서울</v>
      </c>
      <c r="P15" s="544" t="str">
        <f>IF(OR(O10=2,O9="인천",O9="대전",O9="부산",O9="대구",O9="울산"),"광역시",IF(O9="세종","특별자치시",IF(O9="서울","특별시",IF(O10=2,"광역시",AG53))))</f>
        <v>특별시</v>
      </c>
      <c r="Z15" s="541">
        <f t="shared" si="0"/>
        <v>0</v>
      </c>
      <c r="AA15" s="541">
        <v>26</v>
      </c>
      <c r="AB15" s="560" t="s">
        <v>471</v>
      </c>
      <c r="AC15" s="542" t="s">
        <v>474</v>
      </c>
      <c r="AD15" s="541" t="e">
        <f t="shared" si="1"/>
        <v>#VALUE!</v>
      </c>
      <c r="AE15" s="541">
        <f t="shared" si="2"/>
        <v>0</v>
      </c>
      <c r="AF15" s="543" t="str">
        <f t="shared" si="4"/>
        <v/>
      </c>
      <c r="AG15" s="544" t="str">
        <f t="shared" si="5"/>
        <v/>
      </c>
    </row>
    <row r="16" spans="1:33" s="1" customFormat="1" ht="15.95" customHeight="1" x14ac:dyDescent="0.15">
      <c r="B16" s="538" t="s">
        <v>15</v>
      </c>
      <c r="C16" s="1" t="s">
        <v>30</v>
      </c>
      <c r="E16" s="550" t="s">
        <v>23</v>
      </c>
      <c r="F16" s="554">
        <f>'WIND LOAD'!F15</f>
        <v>1000</v>
      </c>
      <c r="G16" s="564" t="s">
        <v>31</v>
      </c>
      <c r="H16" s="565">
        <f>'WIND LOAD'!H15</f>
        <v>3900</v>
      </c>
      <c r="I16" s="564" t="s">
        <v>32</v>
      </c>
      <c r="Z16" s="541">
        <f t="shared" si="0"/>
        <v>0</v>
      </c>
      <c r="AA16" s="541">
        <v>24</v>
      </c>
      <c r="AB16" s="560" t="s">
        <v>471</v>
      </c>
      <c r="AC16" s="542" t="s">
        <v>475</v>
      </c>
      <c r="AD16" s="541" t="e">
        <f t="shared" si="1"/>
        <v>#VALUE!</v>
      </c>
      <c r="AE16" s="541">
        <f t="shared" si="2"/>
        <v>0</v>
      </c>
      <c r="AF16" s="543" t="str">
        <f t="shared" si="4"/>
        <v/>
      </c>
      <c r="AG16" s="544" t="str">
        <f t="shared" si="5"/>
        <v/>
      </c>
    </row>
    <row r="17" spans="2:33" s="1" customFormat="1" ht="15.95" customHeight="1" x14ac:dyDescent="0.15">
      <c r="B17" s="538"/>
      <c r="E17" s="550"/>
      <c r="F17" s="567"/>
      <c r="G17" s="540"/>
      <c r="H17" s="567"/>
      <c r="I17" s="540"/>
      <c r="Z17" s="541">
        <f t="shared" si="0"/>
        <v>0</v>
      </c>
      <c r="AA17" s="541">
        <v>34</v>
      </c>
      <c r="AB17" s="566" t="s">
        <v>476</v>
      </c>
      <c r="AC17" s="542" t="s">
        <v>477</v>
      </c>
      <c r="AD17" s="541" t="e">
        <f t="shared" si="1"/>
        <v>#VALUE!</v>
      </c>
      <c r="AE17" s="541">
        <f t="shared" si="2"/>
        <v>0</v>
      </c>
      <c r="AF17" s="543" t="str">
        <f t="shared" si="4"/>
        <v/>
      </c>
      <c r="AG17" s="544" t="str">
        <f t="shared" si="5"/>
        <v/>
      </c>
    </row>
    <row r="18" spans="2:33" s="1" customFormat="1" ht="15.95" customHeight="1" x14ac:dyDescent="0.15">
      <c r="B18" s="2" t="s">
        <v>630</v>
      </c>
      <c r="C18" s="549"/>
      <c r="E18" s="550"/>
      <c r="F18" s="567"/>
      <c r="G18" s="540"/>
      <c r="H18" s="567"/>
      <c r="I18" s="540" t="s">
        <v>1</v>
      </c>
      <c r="Z18" s="541">
        <f t="shared" si="0"/>
        <v>0</v>
      </c>
      <c r="AA18" s="541">
        <v>32</v>
      </c>
      <c r="AB18" s="566" t="s">
        <v>476</v>
      </c>
      <c r="AC18" s="542" t="s">
        <v>478</v>
      </c>
      <c r="AD18" s="541" t="e">
        <f t="shared" si="1"/>
        <v>#VALUE!</v>
      </c>
      <c r="AE18" s="541">
        <f t="shared" si="2"/>
        <v>0</v>
      </c>
      <c r="AF18" s="543" t="str">
        <f t="shared" si="4"/>
        <v/>
      </c>
      <c r="AG18" s="544" t="str">
        <f t="shared" si="5"/>
        <v/>
      </c>
    </row>
    <row r="19" spans="2:33" s="1" customFormat="1" ht="15.95" customHeight="1" x14ac:dyDescent="0.15">
      <c r="B19" s="2"/>
      <c r="C19" s="549"/>
      <c r="E19" s="550"/>
      <c r="F19" s="567"/>
      <c r="G19" s="540"/>
      <c r="H19" s="567"/>
      <c r="I19" s="540"/>
      <c r="Z19" s="541">
        <f t="shared" si="0"/>
        <v>0</v>
      </c>
      <c r="AA19" s="541">
        <v>30</v>
      </c>
      <c r="AB19" s="566" t="s">
        <v>476</v>
      </c>
      <c r="AC19" s="542" t="s">
        <v>479</v>
      </c>
      <c r="AD19" s="541" t="e">
        <f t="shared" si="1"/>
        <v>#VALUE!</v>
      </c>
      <c r="AE19" s="541">
        <f t="shared" si="2"/>
        <v>0</v>
      </c>
      <c r="AF19" s="543" t="str">
        <f t="shared" si="4"/>
        <v/>
      </c>
      <c r="AG19" s="544" t="str">
        <f t="shared" si="5"/>
        <v/>
      </c>
    </row>
    <row r="20" spans="2:33" s="1" customFormat="1" ht="15.95" customHeight="1" x14ac:dyDescent="0.15">
      <c r="B20" s="2"/>
      <c r="C20" s="762" t="s">
        <v>631</v>
      </c>
      <c r="D20" s="764" t="s">
        <v>632</v>
      </c>
      <c r="E20" s="764" t="s">
        <v>537</v>
      </c>
      <c r="F20" s="766" t="s">
        <v>55</v>
      </c>
      <c r="G20" s="766"/>
      <c r="H20" s="766" t="s">
        <v>56</v>
      </c>
      <c r="I20" s="766" t="s">
        <v>633</v>
      </c>
      <c r="J20" s="768"/>
      <c r="Z20" s="541">
        <f t="shared" si="0"/>
        <v>0</v>
      </c>
      <c r="AA20" s="541">
        <v>28</v>
      </c>
      <c r="AB20" s="566" t="s">
        <v>476</v>
      </c>
      <c r="AC20" s="542" t="s">
        <v>480</v>
      </c>
      <c r="AD20" s="541" t="e">
        <f t="shared" si="1"/>
        <v>#VALUE!</v>
      </c>
      <c r="AE20" s="541">
        <f t="shared" si="2"/>
        <v>0</v>
      </c>
      <c r="AF20" s="543" t="str">
        <f t="shared" si="4"/>
        <v/>
      </c>
      <c r="AG20" s="544" t="str">
        <f t="shared" si="5"/>
        <v/>
      </c>
    </row>
    <row r="21" spans="2:33" s="1" customFormat="1" ht="15.95" customHeight="1" thickBot="1" x14ac:dyDescent="0.2">
      <c r="B21" s="2"/>
      <c r="C21" s="763"/>
      <c r="D21" s="765"/>
      <c r="E21" s="765"/>
      <c r="F21" s="569" t="s">
        <v>634</v>
      </c>
      <c r="G21" s="569" t="s">
        <v>635</v>
      </c>
      <c r="H21" s="767"/>
      <c r="I21" s="569" t="s">
        <v>634</v>
      </c>
      <c r="J21" s="570" t="s">
        <v>635</v>
      </c>
      <c r="O21" s="756" t="s">
        <v>620</v>
      </c>
      <c r="P21" s="756"/>
      <c r="R21" s="756" t="s">
        <v>621</v>
      </c>
      <c r="S21" s="756"/>
      <c r="Z21" s="541">
        <f t="shared" si="0"/>
        <v>0</v>
      </c>
      <c r="AA21" s="541">
        <v>26</v>
      </c>
      <c r="AB21" s="566" t="s">
        <v>476</v>
      </c>
      <c r="AC21" s="542" t="s">
        <v>481</v>
      </c>
      <c r="AD21" s="541" t="e">
        <f t="shared" si="1"/>
        <v>#VALUE!</v>
      </c>
      <c r="AE21" s="541">
        <f t="shared" si="2"/>
        <v>0</v>
      </c>
      <c r="AF21" s="543" t="str">
        <f t="shared" si="4"/>
        <v/>
      </c>
      <c r="AG21" s="544" t="str">
        <f t="shared" si="5"/>
        <v/>
      </c>
    </row>
    <row r="22" spans="2:33" s="1" customFormat="1" ht="15.95" customHeight="1" thickTop="1" x14ac:dyDescent="0.15">
      <c r="B22" s="2"/>
      <c r="C22" s="757" t="s">
        <v>636</v>
      </c>
      <c r="D22" s="759">
        <f>E64</f>
        <v>1</v>
      </c>
      <c r="E22" s="759">
        <f>E58</f>
        <v>414.75652620990599</v>
      </c>
      <c r="F22" s="759">
        <f>IF(F10&lt;20,U72,P72)</f>
        <v>1.7913541937196458</v>
      </c>
      <c r="G22" s="759">
        <f>IF(F10&lt;20,U79,P79)</f>
        <v>-1.9913541937196459</v>
      </c>
      <c r="H22" s="653">
        <v>-0.52</v>
      </c>
      <c r="I22" s="654">
        <f>ROUNDUP(O22,-1)/10^3</f>
        <v>0.96</v>
      </c>
      <c r="J22" s="655">
        <f>ROUNDUP(P22,0)/10^3</f>
        <v>-0.61099999999999999</v>
      </c>
      <c r="O22" s="656">
        <f>$D$22*$E$22*($F$22-H22)</f>
        <v>958.64923622785841</v>
      </c>
      <c r="P22" s="574">
        <f>$E$22*($G$22-H22)</f>
        <v>-610.2537542115374</v>
      </c>
      <c r="R22" s="575">
        <f t="shared" ref="R22:S25" si="6">O22/9.80665</f>
        <v>97.755016874045523</v>
      </c>
      <c r="S22" s="576">
        <f t="shared" si="6"/>
        <v>-62.228564720015235</v>
      </c>
      <c r="Z22" s="541">
        <f t="shared" si="0"/>
        <v>0</v>
      </c>
      <c r="AA22" s="541">
        <v>24</v>
      </c>
      <c r="AB22" s="566" t="s">
        <v>476</v>
      </c>
      <c r="AC22" s="542" t="s">
        <v>482</v>
      </c>
      <c r="AD22" s="541" t="e">
        <f t="shared" si="1"/>
        <v>#VALUE!</v>
      </c>
      <c r="AE22" s="541">
        <f t="shared" si="2"/>
        <v>0</v>
      </c>
      <c r="AF22" s="543" t="str">
        <f t="shared" si="4"/>
        <v/>
      </c>
      <c r="AG22" s="544" t="str">
        <f t="shared" si="5"/>
        <v/>
      </c>
    </row>
    <row r="23" spans="2:33" s="1" customFormat="1" ht="15.95" customHeight="1" x14ac:dyDescent="0.15">
      <c r="B23" s="2"/>
      <c r="C23" s="758"/>
      <c r="D23" s="760"/>
      <c r="E23" s="761"/>
      <c r="F23" s="761"/>
      <c r="G23" s="761"/>
      <c r="H23" s="577">
        <v>0</v>
      </c>
      <c r="I23" s="578">
        <f>ROUNDUP(O23,-1)/10^3</f>
        <v>0.75</v>
      </c>
      <c r="J23" s="579">
        <f>ROUNDUP(P23,0)/10^3</f>
        <v>-0.82599999999999996</v>
      </c>
      <c r="O23" s="574">
        <f>$D$22*$E$22*($F$22-H23)</f>
        <v>742.97584259870723</v>
      </c>
      <c r="P23" s="656">
        <f>$E$22*($G$22-H23)</f>
        <v>-825.92714784068858</v>
      </c>
      <c r="R23" s="576">
        <f t="shared" si="6"/>
        <v>75.762451254883914</v>
      </c>
      <c r="S23" s="575">
        <f t="shared" si="6"/>
        <v>-84.221130339176852</v>
      </c>
      <c r="Z23" s="541">
        <f t="shared" si="0"/>
        <v>0</v>
      </c>
      <c r="AA23" s="541">
        <v>40</v>
      </c>
      <c r="AB23" s="560" t="s">
        <v>483</v>
      </c>
      <c r="AC23" s="542" t="s">
        <v>484</v>
      </c>
      <c r="AD23" s="541" t="e">
        <f t="shared" si="1"/>
        <v>#VALUE!</v>
      </c>
      <c r="AE23" s="541">
        <f t="shared" si="2"/>
        <v>0</v>
      </c>
      <c r="AF23" s="543" t="str">
        <f t="shared" si="4"/>
        <v/>
      </c>
      <c r="AG23" s="544" t="str">
        <f t="shared" si="5"/>
        <v/>
      </c>
    </row>
    <row r="24" spans="2:33" s="1" customFormat="1" ht="15.95" customHeight="1" x14ac:dyDescent="0.15">
      <c r="B24" s="2"/>
      <c r="C24" s="758" t="s">
        <v>637</v>
      </c>
      <c r="D24" s="760"/>
      <c r="E24" s="761"/>
      <c r="F24" s="761"/>
      <c r="G24" s="761">
        <f>IF(F10&lt;20,U86,P86)</f>
        <v>-2.3827083874392914</v>
      </c>
      <c r="H24" s="577">
        <v>-0.52</v>
      </c>
      <c r="I24" s="580">
        <f>ROUNDUP(O24,-1)/10^3</f>
        <v>0.96</v>
      </c>
      <c r="J24" s="581">
        <f>ROUNDUP(P24,0)/10^3</f>
        <v>-0.77300000000000002</v>
      </c>
      <c r="O24" s="656">
        <f>$D$22*$E$22*($F$22-H24)</f>
        <v>958.64923622785841</v>
      </c>
      <c r="P24" s="574">
        <f>$E$22*($G$24-H24)</f>
        <v>-772.57046011637613</v>
      </c>
      <c r="R24" s="575">
        <f t="shared" si="6"/>
        <v>97.755016874045523</v>
      </c>
      <c r="S24" s="576">
        <f t="shared" si="6"/>
        <v>-78.780262384848669</v>
      </c>
      <c r="Z24" s="541">
        <f t="shared" si="0"/>
        <v>0</v>
      </c>
      <c r="AA24" s="541">
        <v>36</v>
      </c>
      <c r="AB24" s="560" t="s">
        <v>483</v>
      </c>
      <c r="AC24" s="542" t="s">
        <v>485</v>
      </c>
      <c r="AD24" s="541" t="e">
        <f t="shared" si="1"/>
        <v>#VALUE!</v>
      </c>
      <c r="AE24" s="541">
        <f t="shared" si="2"/>
        <v>0</v>
      </c>
      <c r="AF24" s="543" t="str">
        <f t="shared" si="4"/>
        <v/>
      </c>
      <c r="AG24" s="544" t="str">
        <f t="shared" si="5"/>
        <v/>
      </c>
    </row>
    <row r="25" spans="2:33" s="1" customFormat="1" ht="15.95" customHeight="1" x14ac:dyDescent="0.15">
      <c r="B25" s="2"/>
      <c r="C25" s="758"/>
      <c r="D25" s="760"/>
      <c r="E25" s="761"/>
      <c r="F25" s="761"/>
      <c r="G25" s="761"/>
      <c r="H25" s="577">
        <v>0</v>
      </c>
      <c r="I25" s="578">
        <f>ROUNDUP(O25,-1)/10^3</f>
        <v>0.75</v>
      </c>
      <c r="J25" s="579">
        <f>ROUNDUP(P25,0)/10^3</f>
        <v>-0.98899999999999999</v>
      </c>
      <c r="O25" s="574">
        <f>$D$22*$E$22*($F$22-H25)</f>
        <v>742.97584259870723</v>
      </c>
      <c r="P25" s="656">
        <f>$E$22*($G$24-H25)</f>
        <v>-988.2438537455273</v>
      </c>
      <c r="R25" s="576">
        <f t="shared" si="6"/>
        <v>75.762451254883914</v>
      </c>
      <c r="S25" s="575">
        <f t="shared" si="6"/>
        <v>-100.77282800401028</v>
      </c>
      <c r="Z25" s="541">
        <f t="shared" si="0"/>
        <v>0</v>
      </c>
      <c r="AA25" s="541">
        <v>34</v>
      </c>
      <c r="AB25" s="560" t="s">
        <v>483</v>
      </c>
      <c r="AC25" s="542" t="s">
        <v>486</v>
      </c>
      <c r="AD25" s="541" t="e">
        <f t="shared" si="1"/>
        <v>#VALUE!</v>
      </c>
      <c r="AE25" s="541">
        <f t="shared" si="2"/>
        <v>0</v>
      </c>
      <c r="AF25" s="543" t="str">
        <f t="shared" si="4"/>
        <v/>
      </c>
      <c r="AG25" s="544" t="str">
        <f t="shared" si="5"/>
        <v/>
      </c>
    </row>
    <row r="26" spans="2:33" s="1" customFormat="1" ht="15.95" customHeight="1" x14ac:dyDescent="0.15">
      <c r="B26" s="2"/>
      <c r="C26" s="549"/>
      <c r="E26" s="550"/>
      <c r="F26" s="567"/>
      <c r="G26" s="540"/>
      <c r="H26" s="567"/>
      <c r="I26" s="540"/>
      <c r="T26" s="657"/>
      <c r="Z26" s="541">
        <f t="shared" si="0"/>
        <v>0</v>
      </c>
      <c r="AA26" s="541">
        <v>34</v>
      </c>
      <c r="AB26" s="582" t="s">
        <v>487</v>
      </c>
      <c r="AC26" s="542" t="s">
        <v>488</v>
      </c>
      <c r="AD26" s="541" t="e">
        <f t="shared" si="1"/>
        <v>#VALUE!</v>
      </c>
      <c r="AE26" s="541">
        <f t="shared" si="2"/>
        <v>0</v>
      </c>
      <c r="AF26" s="543" t="str">
        <f t="shared" si="4"/>
        <v/>
      </c>
      <c r="AG26" s="544" t="str">
        <f t="shared" si="5"/>
        <v/>
      </c>
    </row>
    <row r="27" spans="2:33" s="1" customFormat="1" ht="15.95" customHeight="1" x14ac:dyDescent="0.15">
      <c r="B27" s="538"/>
      <c r="C27" s="583" t="s">
        <v>638</v>
      </c>
      <c r="D27" s="584" t="s">
        <v>60</v>
      </c>
      <c r="E27" s="583" t="s">
        <v>551</v>
      </c>
      <c r="F27" s="585"/>
      <c r="Z27" s="541">
        <f t="shared" si="0"/>
        <v>0</v>
      </c>
      <c r="AA27" s="541">
        <v>32</v>
      </c>
      <c r="AB27" s="560" t="s">
        <v>483</v>
      </c>
      <c r="AC27" s="542" t="s">
        <v>489</v>
      </c>
      <c r="AD27" s="541" t="e">
        <f t="shared" si="1"/>
        <v>#VALUE!</v>
      </c>
      <c r="AE27" s="541">
        <f t="shared" si="2"/>
        <v>0</v>
      </c>
      <c r="AF27" s="543" t="str">
        <f t="shared" si="4"/>
        <v/>
      </c>
      <c r="AG27" s="544" t="str">
        <f t="shared" si="5"/>
        <v/>
      </c>
    </row>
    <row r="28" spans="2:33" s="1" customFormat="1" ht="15.95" customHeight="1" x14ac:dyDescent="0.15">
      <c r="B28" s="538"/>
      <c r="C28" s="583" t="s">
        <v>639</v>
      </c>
      <c r="D28" s="584" t="s">
        <v>60</v>
      </c>
      <c r="E28" s="583" t="s">
        <v>61</v>
      </c>
      <c r="F28" s="585"/>
      <c r="Z28" s="541">
        <f t="shared" si="0"/>
        <v>0</v>
      </c>
      <c r="AA28" s="541">
        <v>30</v>
      </c>
      <c r="AB28" s="560" t="s">
        <v>483</v>
      </c>
      <c r="AC28" s="542" t="s">
        <v>490</v>
      </c>
      <c r="AD28" s="541" t="e">
        <f t="shared" si="1"/>
        <v>#VALUE!</v>
      </c>
      <c r="AE28" s="541">
        <f t="shared" si="2"/>
        <v>0</v>
      </c>
      <c r="AF28" s="543" t="str">
        <f t="shared" si="4"/>
        <v/>
      </c>
      <c r="AG28" s="544" t="str">
        <f t="shared" si="5"/>
        <v/>
      </c>
    </row>
    <row r="29" spans="2:33" s="1" customFormat="1" ht="15.95" customHeight="1" x14ac:dyDescent="0.15">
      <c r="Z29" s="541">
        <f t="shared" si="0"/>
        <v>0</v>
      </c>
      <c r="AA29" s="541">
        <v>28</v>
      </c>
      <c r="AB29" s="560" t="s">
        <v>483</v>
      </c>
      <c r="AC29" s="542" t="s">
        <v>491</v>
      </c>
      <c r="AD29" s="541" t="e">
        <f t="shared" si="1"/>
        <v>#VALUE!</v>
      </c>
      <c r="AE29" s="541">
        <f t="shared" si="2"/>
        <v>0</v>
      </c>
      <c r="AF29" s="543" t="str">
        <f t="shared" si="4"/>
        <v/>
      </c>
      <c r="AG29" s="544" t="str">
        <f t="shared" si="5"/>
        <v/>
      </c>
    </row>
    <row r="30" spans="2:33" s="1" customFormat="1" ht="15.95" customHeight="1" x14ac:dyDescent="0.15">
      <c r="B30" s="538"/>
      <c r="E30" s="550"/>
      <c r="F30" s="567"/>
      <c r="G30" s="540"/>
      <c r="H30" s="567"/>
      <c r="I30" s="540"/>
      <c r="Z30" s="541">
        <f t="shared" si="0"/>
        <v>0</v>
      </c>
      <c r="AA30" s="541">
        <v>26</v>
      </c>
      <c r="AB30" s="560" t="s">
        <v>483</v>
      </c>
      <c r="AC30" s="542" t="s">
        <v>492</v>
      </c>
      <c r="AD30" s="541" t="e">
        <f t="shared" si="1"/>
        <v>#VALUE!</v>
      </c>
      <c r="AE30" s="541">
        <f t="shared" si="2"/>
        <v>0</v>
      </c>
      <c r="AF30" s="543" t="str">
        <f t="shared" si="4"/>
        <v/>
      </c>
      <c r="AG30" s="544" t="str">
        <f t="shared" si="5"/>
        <v/>
      </c>
    </row>
    <row r="31" spans="2:33" s="1" customFormat="1" ht="15.95" customHeight="1" x14ac:dyDescent="0.15">
      <c r="B31" s="2" t="s">
        <v>640</v>
      </c>
      <c r="C31" s="549"/>
      <c r="E31" s="551"/>
      <c r="Z31" s="541">
        <f t="shared" si="0"/>
        <v>0</v>
      </c>
      <c r="AA31" s="541">
        <v>24</v>
      </c>
      <c r="AB31" s="560" t="s">
        <v>483</v>
      </c>
      <c r="AC31" s="542" t="s">
        <v>493</v>
      </c>
      <c r="AD31" s="541" t="e">
        <f t="shared" si="1"/>
        <v>#VALUE!</v>
      </c>
      <c r="AE31" s="541">
        <f t="shared" si="2"/>
        <v>0</v>
      </c>
      <c r="AF31" s="543" t="str">
        <f t="shared" si="4"/>
        <v/>
      </c>
      <c r="AG31" s="544" t="str">
        <f t="shared" si="5"/>
        <v/>
      </c>
    </row>
    <row r="32" spans="2:33" s="1" customFormat="1" ht="15.95" customHeight="1" x14ac:dyDescent="0.15">
      <c r="E32" s="551"/>
      <c r="Z32" s="541">
        <f t="shared" si="0"/>
        <v>0</v>
      </c>
      <c r="AA32" s="541">
        <v>38</v>
      </c>
      <c r="AB32" s="566" t="s">
        <v>494</v>
      </c>
      <c r="AC32" s="542" t="s">
        <v>495</v>
      </c>
      <c r="AD32" s="541" t="e">
        <f t="shared" si="1"/>
        <v>#VALUE!</v>
      </c>
      <c r="AE32" s="541">
        <f t="shared" si="2"/>
        <v>0</v>
      </c>
      <c r="AF32" s="543" t="str">
        <f t="shared" si="4"/>
        <v/>
      </c>
      <c r="AG32" s="544" t="str">
        <f t="shared" si="5"/>
        <v/>
      </c>
    </row>
    <row r="33" spans="1:33" s="1" customFormat="1" ht="15.95" customHeight="1" x14ac:dyDescent="0.15">
      <c r="E33" s="551"/>
      <c r="Z33" s="541">
        <f t="shared" si="0"/>
        <v>0</v>
      </c>
      <c r="AA33" s="541">
        <v>36</v>
      </c>
      <c r="AB33" s="588" t="s">
        <v>496</v>
      </c>
      <c r="AC33" s="542" t="s">
        <v>497</v>
      </c>
      <c r="AD33" s="541" t="e">
        <f t="shared" si="1"/>
        <v>#VALUE!</v>
      </c>
      <c r="AE33" s="541">
        <f t="shared" si="2"/>
        <v>0</v>
      </c>
      <c r="AF33" s="543" t="str">
        <f t="shared" si="4"/>
        <v/>
      </c>
      <c r="AG33" s="544" t="str">
        <f t="shared" si="5"/>
        <v/>
      </c>
    </row>
    <row r="34" spans="1:33" s="1" customFormat="1" ht="15.95" customHeight="1" x14ac:dyDescent="0.15">
      <c r="E34" s="551"/>
      <c r="Z34" s="541">
        <f t="shared" si="0"/>
        <v>0</v>
      </c>
      <c r="AA34" s="541">
        <v>36</v>
      </c>
      <c r="AB34" s="566" t="s">
        <v>494</v>
      </c>
      <c r="AC34" s="542" t="s">
        <v>498</v>
      </c>
      <c r="AD34" s="541" t="e">
        <f t="shared" si="1"/>
        <v>#VALUE!</v>
      </c>
      <c r="AE34" s="541">
        <f t="shared" si="2"/>
        <v>0</v>
      </c>
      <c r="AF34" s="543" t="str">
        <f t="shared" si="4"/>
        <v/>
      </c>
      <c r="AG34" s="544" t="str">
        <f t="shared" si="5"/>
        <v/>
      </c>
    </row>
    <row r="35" spans="1:33" s="1" customFormat="1" ht="15.95" customHeight="1" x14ac:dyDescent="0.15">
      <c r="E35" s="551"/>
      <c r="Z35" s="541">
        <f t="shared" si="0"/>
        <v>0</v>
      </c>
      <c r="AA35" s="541">
        <v>34</v>
      </c>
      <c r="AB35" s="566" t="s">
        <v>494</v>
      </c>
      <c r="AC35" s="542" t="s">
        <v>499</v>
      </c>
      <c r="AD35" s="541" t="e">
        <f t="shared" si="1"/>
        <v>#VALUE!</v>
      </c>
      <c r="AE35" s="541">
        <f t="shared" si="2"/>
        <v>0</v>
      </c>
      <c r="AF35" s="543" t="str">
        <f t="shared" si="4"/>
        <v/>
      </c>
      <c r="AG35" s="544" t="str">
        <f t="shared" si="5"/>
        <v/>
      </c>
    </row>
    <row r="36" spans="1:33" s="1" customFormat="1" ht="15.95" customHeight="1" x14ac:dyDescent="0.15">
      <c r="E36" s="551"/>
      <c r="N36" s="549"/>
      <c r="O36" s="549"/>
      <c r="P36" s="549"/>
      <c r="Q36" s="549"/>
      <c r="R36" s="549"/>
      <c r="S36" s="549"/>
      <c r="T36" s="549"/>
      <c r="U36" s="549"/>
      <c r="Z36" s="541">
        <f t="shared" si="0"/>
        <v>0</v>
      </c>
      <c r="AA36" s="541">
        <v>32</v>
      </c>
      <c r="AB36" s="566" t="s">
        <v>494</v>
      </c>
      <c r="AC36" s="589" t="s">
        <v>500</v>
      </c>
      <c r="AD36" s="541" t="e">
        <f t="shared" si="1"/>
        <v>#VALUE!</v>
      </c>
      <c r="AE36" s="541">
        <f t="shared" si="2"/>
        <v>0</v>
      </c>
      <c r="AF36" s="543" t="str">
        <f>IF(OR(AE36=0,O10=3),"",AB36)</f>
        <v/>
      </c>
      <c r="AG36" s="544" t="str">
        <f>IF(OR(AE36=0,O10=3),"",IF(AE36=0,"",MID(AC36,AD36,4)))</f>
        <v/>
      </c>
    </row>
    <row r="37" spans="1:33" s="1" customFormat="1" ht="15.95" customHeight="1" x14ac:dyDescent="0.15">
      <c r="E37" s="551"/>
      <c r="Z37" s="541">
        <f t="shared" si="0"/>
        <v>0</v>
      </c>
      <c r="AA37" s="541">
        <v>30</v>
      </c>
      <c r="AB37" s="566" t="s">
        <v>494</v>
      </c>
      <c r="AC37" s="542" t="s">
        <v>501</v>
      </c>
      <c r="AD37" s="541" t="e">
        <f t="shared" si="1"/>
        <v>#VALUE!</v>
      </c>
      <c r="AE37" s="541">
        <f t="shared" si="2"/>
        <v>0</v>
      </c>
      <c r="AF37" s="543" t="str">
        <f t="shared" ref="AF37:AF49" si="7">IF(AE37=0,"",AB37)</f>
        <v/>
      </c>
      <c r="AG37" s="544" t="str">
        <f t="shared" ref="AG37:AG42" si="8">IF(AE37=0,"",MID(AC37,AD37,4))</f>
        <v/>
      </c>
    </row>
    <row r="38" spans="1:33" s="1" customFormat="1" ht="15.95" customHeight="1" x14ac:dyDescent="0.15">
      <c r="E38" s="551"/>
      <c r="Z38" s="541">
        <f t="shared" si="0"/>
        <v>0</v>
      </c>
      <c r="AA38" s="541">
        <v>28</v>
      </c>
      <c r="AB38" s="566" t="s">
        <v>494</v>
      </c>
      <c r="AC38" s="542" t="s">
        <v>504</v>
      </c>
      <c r="AD38" s="541" t="e">
        <f t="shared" si="1"/>
        <v>#VALUE!</v>
      </c>
      <c r="AE38" s="541">
        <f t="shared" si="2"/>
        <v>0</v>
      </c>
      <c r="AF38" s="543" t="str">
        <f t="shared" si="7"/>
        <v/>
      </c>
      <c r="AG38" s="544" t="str">
        <f t="shared" si="8"/>
        <v/>
      </c>
    </row>
    <row r="39" spans="1:33" s="1" customFormat="1" ht="15.95" customHeight="1" x14ac:dyDescent="0.15">
      <c r="E39" s="551"/>
      <c r="Z39" s="541">
        <f t="shared" si="0"/>
        <v>0</v>
      </c>
      <c r="AA39" s="541">
        <v>26</v>
      </c>
      <c r="AB39" s="566" t="s">
        <v>494</v>
      </c>
      <c r="AC39" s="542" t="s">
        <v>509</v>
      </c>
      <c r="AD39" s="541" t="e">
        <f t="shared" si="1"/>
        <v>#VALUE!</v>
      </c>
      <c r="AE39" s="541">
        <f t="shared" si="2"/>
        <v>0</v>
      </c>
      <c r="AF39" s="543" t="str">
        <f t="shared" si="7"/>
        <v/>
      </c>
      <c r="AG39" s="544" t="str">
        <f t="shared" si="8"/>
        <v/>
      </c>
    </row>
    <row r="40" spans="1:33" s="1" customFormat="1" ht="15.95" customHeight="1" x14ac:dyDescent="0.15">
      <c r="E40" s="551"/>
      <c r="Z40" s="541">
        <f t="shared" si="0"/>
        <v>0</v>
      </c>
      <c r="AA40" s="541">
        <v>24</v>
      </c>
      <c r="AB40" s="566" t="s">
        <v>494</v>
      </c>
      <c r="AC40" s="542" t="s">
        <v>510</v>
      </c>
      <c r="AD40" s="541" t="e">
        <f t="shared" si="1"/>
        <v>#VALUE!</v>
      </c>
      <c r="AE40" s="541">
        <f t="shared" si="2"/>
        <v>0</v>
      </c>
      <c r="AF40" s="543" t="str">
        <f t="shared" si="7"/>
        <v/>
      </c>
      <c r="AG40" s="544" t="str">
        <f t="shared" si="8"/>
        <v/>
      </c>
    </row>
    <row r="41" spans="1:33" s="1" customFormat="1" ht="15.95" customHeight="1" x14ac:dyDescent="0.15">
      <c r="E41" s="551"/>
      <c r="Z41" s="541">
        <f t="shared" si="0"/>
        <v>0</v>
      </c>
      <c r="AA41" s="541">
        <v>32</v>
      </c>
      <c r="AB41" s="560" t="s">
        <v>513</v>
      </c>
      <c r="AC41" s="542" t="s">
        <v>514</v>
      </c>
      <c r="AD41" s="541" t="e">
        <f t="shared" si="1"/>
        <v>#VALUE!</v>
      </c>
      <c r="AE41" s="541">
        <f t="shared" si="2"/>
        <v>0</v>
      </c>
      <c r="AF41" s="543" t="str">
        <f t="shared" si="7"/>
        <v/>
      </c>
      <c r="AG41" s="544" t="str">
        <f t="shared" si="8"/>
        <v/>
      </c>
    </row>
    <row r="42" spans="1:33" s="1" customFormat="1" ht="15.95" customHeight="1" x14ac:dyDescent="0.15">
      <c r="E42" s="551"/>
      <c r="Z42" s="541">
        <f t="shared" si="0"/>
        <v>0</v>
      </c>
      <c r="AA42" s="541">
        <v>28</v>
      </c>
      <c r="AB42" s="560" t="s">
        <v>513</v>
      </c>
      <c r="AC42" s="542" t="s">
        <v>516</v>
      </c>
      <c r="AD42" s="541" t="e">
        <f t="shared" si="1"/>
        <v>#VALUE!</v>
      </c>
      <c r="AE42" s="541">
        <f t="shared" si="2"/>
        <v>0</v>
      </c>
      <c r="AF42" s="543" t="str">
        <f t="shared" si="7"/>
        <v/>
      </c>
      <c r="AG42" s="544" t="str">
        <f t="shared" si="8"/>
        <v/>
      </c>
    </row>
    <row r="43" spans="1:33" s="1" customFormat="1" ht="15.95" customHeight="1" x14ac:dyDescent="0.15">
      <c r="Z43" s="541">
        <f t="shared" si="0"/>
        <v>0</v>
      </c>
      <c r="AA43" s="541">
        <v>26</v>
      </c>
      <c r="AB43" s="560" t="s">
        <v>513</v>
      </c>
      <c r="AC43" s="542" t="s">
        <v>518</v>
      </c>
      <c r="AD43" s="541" t="e">
        <f t="shared" si="1"/>
        <v>#VALUE!</v>
      </c>
      <c r="AE43" s="541">
        <f t="shared" si="2"/>
        <v>0</v>
      </c>
      <c r="AF43" s="543" t="str">
        <f t="shared" si="7"/>
        <v/>
      </c>
      <c r="AG43" s="544" t="str">
        <f>IF(AE43=0,"",MID(AC43,AD43,3))</f>
        <v/>
      </c>
    </row>
    <row r="44" spans="1:33" s="549" customFormat="1" ht="15.95" customHeight="1" x14ac:dyDescent="0.15">
      <c r="C44" s="591" t="s">
        <v>641</v>
      </c>
      <c r="D44" s="1"/>
      <c r="E44" s="551"/>
      <c r="F44" s="1"/>
      <c r="H44" s="755" t="s">
        <v>642</v>
      </c>
      <c r="I44" s="755"/>
      <c r="J44" s="755"/>
      <c r="K44" s="755"/>
      <c r="L44" s="755"/>
      <c r="R44" s="593" t="s">
        <v>502</v>
      </c>
      <c r="S44" s="594" t="s">
        <v>503</v>
      </c>
      <c r="Y44" s="1"/>
      <c r="Z44" s="541">
        <f t="shared" si="0"/>
        <v>0</v>
      </c>
      <c r="AA44" s="541">
        <v>24</v>
      </c>
      <c r="AB44" s="560" t="s">
        <v>513</v>
      </c>
      <c r="AC44" s="542" t="s">
        <v>522</v>
      </c>
      <c r="AD44" s="541" t="e">
        <f t="shared" si="1"/>
        <v>#VALUE!</v>
      </c>
      <c r="AE44" s="541">
        <f t="shared" si="2"/>
        <v>0</v>
      </c>
      <c r="AF44" s="543" t="str">
        <f t="shared" si="7"/>
        <v/>
      </c>
      <c r="AG44" s="544" t="str">
        <f t="shared" ref="AG44:AG49" si="9">IF(AE44=0,"",MID(AC44,AD44,4))</f>
        <v/>
      </c>
    </row>
    <row r="45" spans="1:33" s="549" customFormat="1" ht="15.95" customHeight="1" x14ac:dyDescent="0.15">
      <c r="E45" s="592"/>
      <c r="R45" s="593"/>
      <c r="S45" s="594"/>
      <c r="Y45" s="1"/>
      <c r="Z45" s="541">
        <f t="shared" si="0"/>
        <v>0</v>
      </c>
      <c r="AA45" s="541">
        <v>36</v>
      </c>
      <c r="AB45" s="566" t="s">
        <v>525</v>
      </c>
      <c r="AC45" s="542" t="s">
        <v>526</v>
      </c>
      <c r="AD45" s="541" t="e">
        <f t="shared" si="1"/>
        <v>#VALUE!</v>
      </c>
      <c r="AE45" s="541">
        <f t="shared" si="2"/>
        <v>0</v>
      </c>
      <c r="AF45" s="543" t="str">
        <f t="shared" si="7"/>
        <v/>
      </c>
      <c r="AG45" s="544" t="str">
        <f t="shared" si="9"/>
        <v/>
      </c>
    </row>
    <row r="46" spans="1:33" s="549" customFormat="1" ht="15.95" customHeight="1" x14ac:dyDescent="0.15">
      <c r="A46" s="547"/>
      <c r="B46" s="548" t="s">
        <v>41</v>
      </c>
      <c r="C46" s="547" t="s">
        <v>643</v>
      </c>
      <c r="D46" s="547"/>
      <c r="E46" s="547"/>
      <c r="F46" s="547"/>
      <c r="G46" s="547"/>
      <c r="H46" s="547"/>
      <c r="I46" s="547"/>
      <c r="J46" s="547"/>
      <c r="K46" s="547"/>
      <c r="L46" s="547"/>
      <c r="O46" s="595" t="s">
        <v>505</v>
      </c>
      <c r="P46" s="596" t="s">
        <v>506</v>
      </c>
      <c r="Q46" s="593" t="s">
        <v>8</v>
      </c>
      <c r="R46" s="593" t="s">
        <v>53</v>
      </c>
      <c r="S46" s="597" t="s">
        <v>53</v>
      </c>
      <c r="T46" s="597" t="s">
        <v>507</v>
      </c>
      <c r="U46" s="593" t="s">
        <v>508</v>
      </c>
      <c r="V46" s="1"/>
      <c r="Y46" s="1"/>
      <c r="Z46" s="541">
        <f t="shared" si="0"/>
        <v>0</v>
      </c>
      <c r="AA46" s="541">
        <v>34</v>
      </c>
      <c r="AB46" s="566" t="s">
        <v>525</v>
      </c>
      <c r="AC46" s="542" t="s">
        <v>529</v>
      </c>
      <c r="AD46" s="541" t="e">
        <f t="shared" si="1"/>
        <v>#VALUE!</v>
      </c>
      <c r="AE46" s="541">
        <f t="shared" si="2"/>
        <v>0</v>
      </c>
      <c r="AF46" s="543" t="str">
        <f t="shared" si="7"/>
        <v/>
      </c>
      <c r="AG46" s="544" t="str">
        <f t="shared" si="9"/>
        <v/>
      </c>
    </row>
    <row r="47" spans="1:33" s="549" customFormat="1" ht="15.95" customHeight="1" x14ac:dyDescent="0.15">
      <c r="O47" s="598" t="s">
        <v>54</v>
      </c>
      <c r="P47" s="599">
        <v>0.22</v>
      </c>
      <c r="Q47" s="596">
        <v>0.33</v>
      </c>
      <c r="R47" s="600">
        <v>0.57999999999999996</v>
      </c>
      <c r="S47" s="601">
        <f>P47*$I$50^Q47</f>
        <v>0.47035165969049109</v>
      </c>
      <c r="T47" s="595">
        <v>20</v>
      </c>
      <c r="U47" s="602">
        <v>550</v>
      </c>
      <c r="V47" s="658">
        <f>(ABS(P23)/(F22-H22))</f>
        <v>357.33473912604018</v>
      </c>
      <c r="Y47" s="1"/>
      <c r="Z47" s="541">
        <f t="shared" si="0"/>
        <v>0</v>
      </c>
      <c r="AA47" s="541">
        <v>32</v>
      </c>
      <c r="AB47" s="566" t="s">
        <v>525</v>
      </c>
      <c r="AC47" s="542" t="s">
        <v>532</v>
      </c>
      <c r="AD47" s="541" t="e">
        <f t="shared" si="1"/>
        <v>#VALUE!</v>
      </c>
      <c r="AE47" s="541">
        <f t="shared" si="2"/>
        <v>0</v>
      </c>
      <c r="AF47" s="543" t="str">
        <f t="shared" si="7"/>
        <v/>
      </c>
      <c r="AG47" s="544" t="str">
        <f t="shared" si="9"/>
        <v/>
      </c>
    </row>
    <row r="48" spans="1:33" s="549" customFormat="1" ht="15.95" customHeight="1" x14ac:dyDescent="0.25">
      <c r="B48" s="538"/>
      <c r="C48" s="603" t="s">
        <v>42</v>
      </c>
      <c r="D48" s="550" t="s">
        <v>4</v>
      </c>
      <c r="E48" s="604">
        <f>VLOOKUP(F13,O47:P50,2)</f>
        <v>0.71</v>
      </c>
      <c r="F48" s="605" t="s">
        <v>511</v>
      </c>
      <c r="G48" s="606" t="s">
        <v>43</v>
      </c>
      <c r="H48" s="596" t="s">
        <v>4</v>
      </c>
      <c r="I48" s="607">
        <f>VLOOKUP($F$13,$O$47:$U$50,6)</f>
        <v>10</v>
      </c>
      <c r="J48" s="549" t="s">
        <v>512</v>
      </c>
      <c r="O48" s="598" t="s">
        <v>57</v>
      </c>
      <c r="P48" s="599">
        <v>0.45</v>
      </c>
      <c r="Q48" s="596">
        <v>0.22</v>
      </c>
      <c r="R48" s="600">
        <v>0.81</v>
      </c>
      <c r="S48" s="601">
        <f>P48*$I$50^Q48</f>
        <v>0.74681410834690232</v>
      </c>
      <c r="T48" s="595">
        <v>15</v>
      </c>
      <c r="U48" s="602">
        <v>450</v>
      </c>
      <c r="V48" s="658">
        <f>SQRT((V47*2)/(E59))</f>
        <v>24.203195125953599</v>
      </c>
      <c r="Y48" s="1"/>
      <c r="Z48" s="541">
        <f t="shared" si="0"/>
        <v>0</v>
      </c>
      <c r="AA48" s="541">
        <v>30</v>
      </c>
      <c r="AB48" s="566" t="s">
        <v>525</v>
      </c>
      <c r="AC48" s="542" t="s">
        <v>534</v>
      </c>
      <c r="AD48" s="541" t="e">
        <f t="shared" si="1"/>
        <v>#VALUE!</v>
      </c>
      <c r="AE48" s="541">
        <f t="shared" si="2"/>
        <v>0</v>
      </c>
      <c r="AF48" s="543" t="str">
        <f t="shared" si="7"/>
        <v/>
      </c>
      <c r="AG48" s="544" t="str">
        <f t="shared" si="9"/>
        <v/>
      </c>
    </row>
    <row r="49" spans="1:33" s="549" customFormat="1" ht="15.95" customHeight="1" x14ac:dyDescent="0.15">
      <c r="D49" s="550" t="s">
        <v>4</v>
      </c>
      <c r="E49" s="608">
        <f>IF(I48&gt;I50,N49,N50)</f>
        <v>1.0029016566821556</v>
      </c>
      <c r="G49" s="606" t="s">
        <v>45</v>
      </c>
      <c r="H49" s="596" t="s">
        <v>4</v>
      </c>
      <c r="I49" s="607">
        <f>VLOOKUP($F$13,$O$47:$U$50,7)</f>
        <v>350</v>
      </c>
      <c r="J49" s="549" t="s">
        <v>515</v>
      </c>
      <c r="N49" s="609">
        <f>VLOOKUP(F13,O47:U50,4)</f>
        <v>1</v>
      </c>
      <c r="O49" s="598" t="s">
        <v>58</v>
      </c>
      <c r="P49" s="599">
        <v>0.71</v>
      </c>
      <c r="Q49" s="596">
        <v>0.15</v>
      </c>
      <c r="R49" s="610">
        <v>1</v>
      </c>
      <c r="S49" s="601">
        <f>P49*$I$50^Q49</f>
        <v>1.0029016566821556</v>
      </c>
      <c r="T49" s="595">
        <v>10</v>
      </c>
      <c r="U49" s="602">
        <v>350</v>
      </c>
      <c r="V49" s="658">
        <f>V48/F12/F14/F15</f>
        <v>0.9308921202289846</v>
      </c>
      <c r="Y49" s="1"/>
      <c r="Z49" s="541">
        <f t="shared" si="0"/>
        <v>0</v>
      </c>
      <c r="AA49" s="541">
        <v>28</v>
      </c>
      <c r="AB49" s="566" t="s">
        <v>525</v>
      </c>
      <c r="AC49" s="542" t="s">
        <v>535</v>
      </c>
      <c r="AD49" s="541" t="e">
        <f t="shared" si="1"/>
        <v>#VALUE!</v>
      </c>
      <c r="AE49" s="541">
        <f t="shared" si="2"/>
        <v>0</v>
      </c>
      <c r="AF49" s="543" t="str">
        <f t="shared" si="7"/>
        <v/>
      </c>
      <c r="AG49" s="544" t="str">
        <f t="shared" si="9"/>
        <v/>
      </c>
    </row>
    <row r="50" spans="1:33" s="549" customFormat="1" ht="15.95" customHeight="1" x14ac:dyDescent="0.15">
      <c r="C50" s="611"/>
      <c r="G50" s="606" t="s">
        <v>46</v>
      </c>
      <c r="H50" s="596" t="s">
        <v>4</v>
      </c>
      <c r="I50" s="607">
        <f>F10</f>
        <v>10</v>
      </c>
      <c r="J50" s="549" t="s">
        <v>517</v>
      </c>
      <c r="N50" s="609">
        <f>VLOOKUP(F13,O47:U50,5)</f>
        <v>1.0029016566821556</v>
      </c>
      <c r="O50" s="598" t="s">
        <v>59</v>
      </c>
      <c r="P50" s="612">
        <v>0.98</v>
      </c>
      <c r="Q50" s="613">
        <v>0.1</v>
      </c>
      <c r="R50" s="600">
        <v>1.1299999999999999</v>
      </c>
      <c r="S50" s="614">
        <f>P50*$I$50^Q50</f>
        <v>1.233746903558284</v>
      </c>
      <c r="T50" s="595">
        <v>5</v>
      </c>
      <c r="U50" s="596">
        <v>250</v>
      </c>
      <c r="V50" s="658">
        <f>V49/(VLOOKUP(F13,O47:P50,2))</f>
        <v>1.3111156622943445</v>
      </c>
      <c r="Y50" s="1"/>
      <c r="Z50" s="541">
        <f t="shared" si="0"/>
        <v>0</v>
      </c>
      <c r="AA50" s="541">
        <v>26</v>
      </c>
      <c r="AB50" s="566" t="s">
        <v>525</v>
      </c>
      <c r="AC50" s="542" t="s">
        <v>536</v>
      </c>
      <c r="AD50" s="541" t="e">
        <f t="shared" si="1"/>
        <v>#VALUE!</v>
      </c>
      <c r="AE50" s="541">
        <f t="shared" si="2"/>
        <v>0</v>
      </c>
      <c r="AF50" s="543" t="str">
        <f>IF(OR(AE50=0,O10=1),"",AB50)</f>
        <v/>
      </c>
      <c r="AG50" s="544" t="str">
        <f>IF(OR(AE50=0,O10=1),"",IF(AE50=0,"",MID(AC50,AD50,4)))</f>
        <v/>
      </c>
    </row>
    <row r="51" spans="1:33" s="549" customFormat="1" ht="15.95" customHeight="1" x14ac:dyDescent="0.15">
      <c r="B51" s="538"/>
      <c r="C51" s="615" t="s">
        <v>519</v>
      </c>
      <c r="D51" s="550" t="s">
        <v>4</v>
      </c>
      <c r="E51" s="585" t="s">
        <v>47</v>
      </c>
      <c r="G51" s="606" t="s">
        <v>8</v>
      </c>
      <c r="H51" s="596" t="s">
        <v>4</v>
      </c>
      <c r="I51" s="616">
        <f>VLOOKUP($F$13,$O$47:$U$50,3)</f>
        <v>0.15</v>
      </c>
      <c r="J51" s="549" t="s">
        <v>520</v>
      </c>
      <c r="O51" s="617"/>
      <c r="P51" s="617"/>
      <c r="Q51" s="617"/>
      <c r="R51" s="617"/>
      <c r="S51" s="617"/>
      <c r="T51" s="617"/>
      <c r="V51" s="659">
        <f>V50^(1/(VLOOKUP(F13,O47:Q50,3)))</f>
        <v>6.0851791614629516</v>
      </c>
      <c r="W51" s="657" t="s">
        <v>521</v>
      </c>
      <c r="Y51" s="1"/>
      <c r="Z51" s="541">
        <f t="shared" si="0"/>
        <v>0</v>
      </c>
      <c r="AA51" s="541">
        <v>24</v>
      </c>
      <c r="AB51" s="566" t="s">
        <v>525</v>
      </c>
      <c r="AC51" s="542" t="s">
        <v>539</v>
      </c>
      <c r="AD51" s="541" t="e">
        <f t="shared" si="1"/>
        <v>#VALUE!</v>
      </c>
      <c r="AE51" s="541">
        <f t="shared" si="2"/>
        <v>0</v>
      </c>
      <c r="AF51" s="543" t="str">
        <f>IF(AE51=0,"",AB51)</f>
        <v/>
      </c>
      <c r="AG51" s="544" t="str">
        <f>IF(AE51=0,"",MID(AC51,AD51,4))</f>
        <v/>
      </c>
    </row>
    <row r="52" spans="1:33" s="549" customFormat="1" ht="15.95" customHeight="1" x14ac:dyDescent="0.15">
      <c r="C52" s="611"/>
      <c r="D52" s="550" t="s">
        <v>4</v>
      </c>
      <c r="E52" s="608">
        <f>F12*F14*F15*E49</f>
        <v>26.075443073736047</v>
      </c>
      <c r="F52" s="549" t="s">
        <v>26</v>
      </c>
      <c r="N52" s="559">
        <v>1</v>
      </c>
      <c r="O52" s="614">
        <f>(I48/F10)^(2*I51)</f>
        <v>1</v>
      </c>
      <c r="P52" s="660" t="s">
        <v>523</v>
      </c>
      <c r="R52" s="618" t="s">
        <v>524</v>
      </c>
      <c r="Y52" s="1"/>
      <c r="Z52" s="541">
        <f>ROUNDDOWN(COUNT(AD52),0)</f>
        <v>0</v>
      </c>
      <c r="AA52" s="541">
        <v>44</v>
      </c>
      <c r="AB52" s="541" t="s">
        <v>39</v>
      </c>
      <c r="AC52" s="542" t="s">
        <v>40</v>
      </c>
      <c r="AD52" s="541" t="e">
        <f t="shared" si="1"/>
        <v>#VALUE!</v>
      </c>
      <c r="AE52" s="541">
        <f t="shared" si="2"/>
        <v>0</v>
      </c>
      <c r="AF52" s="543" t="str">
        <f>IF(AE52=0,"",AB52)</f>
        <v/>
      </c>
      <c r="AG52" s="544" t="str">
        <f>IF(AE52=0,"",MID(AC52,AD52,4))</f>
        <v/>
      </c>
    </row>
    <row r="53" spans="1:33" s="549" customFormat="1" ht="15.95" customHeight="1" x14ac:dyDescent="0.15">
      <c r="C53" s="611"/>
      <c r="N53" s="559">
        <v>2</v>
      </c>
      <c r="O53" s="614">
        <f>(F11/F10)^(2*I51)</f>
        <v>1</v>
      </c>
      <c r="P53" s="660" t="s">
        <v>527</v>
      </c>
      <c r="R53" s="618" t="s">
        <v>528</v>
      </c>
      <c r="Y53" s="1"/>
      <c r="Z53" s="1"/>
      <c r="AA53" s="1"/>
      <c r="AB53" s="1"/>
      <c r="AC53" s="1"/>
      <c r="AD53" s="1"/>
      <c r="AE53" s="1"/>
      <c r="AF53" s="619" t="str">
        <f>AF3&amp;AF4&amp;AF5&amp;AF6&amp;AF7&amp;AF8&amp;AF9&amp;AF10&amp;AF11&amp;AF12&amp;AF13&amp;AF14&amp;AF15&amp;AF16&amp;AF17&amp;AF18&amp;AF19&amp;AF20&amp;AF21&amp;AF22&amp;AF23&amp;AF24&amp;AF25&amp;AF26&amp;AF27&amp;AF28&amp;AF29&amp;AF30&amp;AF31&amp;AF32&amp;AF33&amp;AF34&amp;AF35&amp;AF36&amp;AF37&amp;AF38&amp;AF39&amp;AF40&amp;AF41&amp;AF42&amp;AF43&amp;AF44&amp;AF45&amp;AF46&amp;AF47&amp;AF48&amp;AF49&amp;AF50&amp;AF51&amp;AF52</f>
        <v>경기도</v>
      </c>
      <c r="AG53" s="619" t="str">
        <f>AG3&amp;AG4&amp;AG5&amp;AG6&amp;AG7&amp;AG8&amp;AG9&amp;AG10&amp;AG11&amp;AG12&amp;AG13&amp;AG14&amp;AG15&amp;AG16&amp;AG17&amp;AG18&amp;AG19&amp;AG20&amp;AG21&amp;AG22&amp;AG23&amp;AG24&amp;AG25&amp;AG26&amp;AG27&amp;AG28&amp;AG29&amp;AG30&amp;AG31&amp;AG32&amp;AG33&amp;AG34&amp;AG35&amp;AG36&amp;AG37&amp;AG38&amp;AG39&amp;AG40&amp;AG41&amp;AG42&amp;AG43&amp;AG44&amp;AG45&amp;AG46&amp;AG47&amp;AG48&amp;AG49&amp;AG50&amp;AG51&amp;AG52</f>
        <v xml:space="preserve">서울시 </v>
      </c>
    </row>
    <row r="54" spans="1:33" s="549" customFormat="1" ht="15.95" customHeight="1" x14ac:dyDescent="0.15">
      <c r="C54" s="611"/>
      <c r="G54" s="1"/>
      <c r="H54" s="1"/>
      <c r="I54" s="1"/>
      <c r="J54" s="661"/>
      <c r="K54" s="1"/>
      <c r="N54" s="559">
        <v>3</v>
      </c>
      <c r="O54" s="614">
        <f>0.8^(2*I51)</f>
        <v>0.93524844782262129</v>
      </c>
      <c r="P54" s="660" t="s">
        <v>530</v>
      </c>
      <c r="R54" s="620" t="s">
        <v>531</v>
      </c>
      <c r="Y54" s="1"/>
    </row>
    <row r="55" spans="1:33" s="549" customFormat="1" ht="15.95" customHeight="1" x14ac:dyDescent="0.15">
      <c r="B55" s="548" t="s">
        <v>48</v>
      </c>
      <c r="C55" s="547" t="s">
        <v>644</v>
      </c>
      <c r="G55" s="586" t="s">
        <v>37</v>
      </c>
      <c r="H55" s="1"/>
      <c r="I55" s="1"/>
      <c r="J55" s="1"/>
      <c r="K55" s="1"/>
      <c r="N55" s="662">
        <f>IF(F11&lt;=I48,1,IF(AND(F11&gt;I48,F11&lt;0.8*I50),2,3))</f>
        <v>1</v>
      </c>
      <c r="O55" s="663">
        <f>VLOOKUP(N55, N52:O54, 2, FALSE)</f>
        <v>1</v>
      </c>
      <c r="P55" s="664" t="s">
        <v>533</v>
      </c>
      <c r="Y55" s="1"/>
    </row>
    <row r="56" spans="1:33" s="549" customFormat="1" ht="15.95" customHeight="1" x14ac:dyDescent="0.15">
      <c r="G56" s="587" t="s">
        <v>38</v>
      </c>
      <c r="H56" s="1"/>
      <c r="I56" s="1"/>
      <c r="J56" s="1"/>
      <c r="K56" s="1"/>
      <c r="M56" s="621"/>
    </row>
    <row r="57" spans="1:33" s="549" customFormat="1" ht="15.95" customHeight="1" x14ac:dyDescent="0.15">
      <c r="B57" s="538"/>
      <c r="C57" s="622" t="s">
        <v>537</v>
      </c>
      <c r="D57" s="550" t="s">
        <v>4</v>
      </c>
      <c r="E57" s="583" t="s">
        <v>538</v>
      </c>
      <c r="G57" s="1"/>
      <c r="H57" s="1"/>
      <c r="I57" s="1"/>
      <c r="J57" s="1"/>
      <c r="K57" s="1"/>
      <c r="P57"/>
    </row>
    <row r="58" spans="1:33" s="547" customFormat="1" ht="15.95" customHeight="1" x14ac:dyDescent="0.15">
      <c r="A58" s="549"/>
      <c r="B58" s="549"/>
      <c r="C58" s="623"/>
      <c r="D58" s="550" t="s">
        <v>4</v>
      </c>
      <c r="E58" s="624">
        <f>0.5*(E59)*E52^2</f>
        <v>414.75652620990599</v>
      </c>
      <c r="F58" s="549" t="s">
        <v>645</v>
      </c>
      <c r="G58" s="1"/>
      <c r="H58" s="1"/>
      <c r="I58" s="1"/>
      <c r="J58" s="665">
        <f>I22</f>
        <v>0.96</v>
      </c>
      <c r="K58" s="661" t="s">
        <v>626</v>
      </c>
      <c r="L58" s="549"/>
      <c r="X58" s="549"/>
      <c r="Y58" s="549"/>
    </row>
    <row r="59" spans="1:33" s="549" customFormat="1" ht="15.95" customHeight="1" x14ac:dyDescent="0.15">
      <c r="B59" s="538"/>
      <c r="C59" s="583" t="s">
        <v>49</v>
      </c>
      <c r="D59" s="596" t="s">
        <v>4</v>
      </c>
      <c r="E59" s="616">
        <v>1.22</v>
      </c>
      <c r="F59" s="549" t="s">
        <v>50</v>
      </c>
      <c r="G59" s="1"/>
      <c r="H59" s="1"/>
      <c r="I59" s="1"/>
      <c r="J59" s="666">
        <f>J23</f>
        <v>-0.82599999999999996</v>
      </c>
      <c r="K59" s="661" t="s">
        <v>626</v>
      </c>
    </row>
    <row r="60" spans="1:33" s="549" customFormat="1" ht="15.95" customHeight="1" x14ac:dyDescent="0.15">
      <c r="G60" s="1"/>
      <c r="H60" s="1"/>
      <c r="I60" s="1"/>
      <c r="J60" s="1"/>
      <c r="K60" s="1"/>
    </row>
    <row r="61" spans="1:33" s="549" customFormat="1" ht="15.95" customHeight="1" x14ac:dyDescent="0.15">
      <c r="G61" s="1"/>
      <c r="H61" s="1"/>
      <c r="I61" s="1"/>
      <c r="J61" s="1"/>
      <c r="K61" s="1"/>
      <c r="N61" s="549" t="s">
        <v>62</v>
      </c>
    </row>
    <row r="62" spans="1:33" s="549" customFormat="1" ht="15.95" customHeight="1" x14ac:dyDescent="0.15">
      <c r="B62" s="548" t="s">
        <v>51</v>
      </c>
      <c r="C62" s="625" t="s">
        <v>646</v>
      </c>
      <c r="G62" s="590">
        <f>V51</f>
        <v>6.0851791614629516</v>
      </c>
      <c r="H62" s="1"/>
      <c r="I62" s="1"/>
      <c r="J62" s="1"/>
      <c r="K62" s="1"/>
      <c r="M62" s="547"/>
      <c r="N62" s="549" t="s">
        <v>540</v>
      </c>
    </row>
    <row r="63" spans="1:33" s="549" customFormat="1" ht="15.95" customHeight="1" x14ac:dyDescent="0.15">
      <c r="A63" s="625"/>
      <c r="G63" s="1"/>
      <c r="H63" s="1"/>
      <c r="I63" s="1"/>
      <c r="J63" s="1"/>
      <c r="K63" s="1"/>
    </row>
    <row r="64" spans="1:33" s="549" customFormat="1" ht="15.95" customHeight="1" x14ac:dyDescent="0.15">
      <c r="B64" s="538"/>
      <c r="C64" s="583" t="s">
        <v>541</v>
      </c>
      <c r="D64" s="550" t="s">
        <v>4</v>
      </c>
      <c r="E64" s="626">
        <f>O55</f>
        <v>1</v>
      </c>
      <c r="F64" s="625"/>
      <c r="G64" s="1"/>
      <c r="H64" s="1"/>
      <c r="I64" s="1"/>
      <c r="J64" s="1"/>
      <c r="K64" s="1"/>
      <c r="X64" s="625"/>
      <c r="Y64" s="625"/>
    </row>
    <row r="65" spans="1:25" s="549" customFormat="1" ht="15.95" customHeight="1" x14ac:dyDescent="0.15">
      <c r="A65" s="538"/>
      <c r="C65" s="623"/>
      <c r="G65" s="1"/>
      <c r="H65" s="1"/>
      <c r="I65" s="1"/>
      <c r="J65" s="1"/>
      <c r="K65" s="1"/>
      <c r="N65" s="617" t="s">
        <v>542</v>
      </c>
      <c r="O65" s="617"/>
      <c r="P65" s="617"/>
      <c r="Q65" s="617"/>
    </row>
    <row r="66" spans="1:25" s="549" customFormat="1" ht="15.95" customHeight="1" x14ac:dyDescent="0.15">
      <c r="B66" s="538"/>
      <c r="G66" s="1"/>
      <c r="H66" s="1"/>
      <c r="I66" s="1"/>
      <c r="J66" s="1" t="s">
        <v>647</v>
      </c>
      <c r="K66" s="1"/>
      <c r="N66" s="617"/>
      <c r="O66" s="617"/>
      <c r="P66" s="617"/>
      <c r="Q66" s="617"/>
    </row>
    <row r="67" spans="1:25" s="549" customFormat="1" ht="15.95" customHeight="1" x14ac:dyDescent="0.15">
      <c r="B67" s="548"/>
      <c r="C67" s="625"/>
      <c r="N67" s="617" t="s">
        <v>543</v>
      </c>
      <c r="O67" s="617"/>
      <c r="P67" s="617"/>
      <c r="Q67" s="617"/>
      <c r="S67" s="617" t="s">
        <v>544</v>
      </c>
      <c r="T67" s="617"/>
      <c r="U67" s="617"/>
      <c r="V67" s="617"/>
    </row>
    <row r="68" spans="1:25" s="549" customFormat="1" ht="15.95" customHeight="1" x14ac:dyDescent="0.15">
      <c r="N68" s="617" t="s">
        <v>77</v>
      </c>
      <c r="O68" s="611" t="s">
        <v>545</v>
      </c>
      <c r="P68" s="627">
        <f>F16*H16/10^6</f>
        <v>3.9</v>
      </c>
      <c r="Q68" s="628" t="s">
        <v>546</v>
      </c>
      <c r="S68" s="617" t="s">
        <v>77</v>
      </c>
      <c r="T68" s="611" t="s">
        <v>545</v>
      </c>
      <c r="U68" s="627">
        <f>P68</f>
        <v>3.9</v>
      </c>
      <c r="V68" s="628" t="s">
        <v>546</v>
      </c>
    </row>
    <row r="69" spans="1:25" s="549" customFormat="1" ht="15.95" customHeight="1" x14ac:dyDescent="0.15">
      <c r="N69" s="617" t="s">
        <v>78</v>
      </c>
      <c r="O69" s="629" t="s">
        <v>547</v>
      </c>
      <c r="P69" s="616">
        <v>1.8</v>
      </c>
      <c r="Q69" s="630" t="str">
        <f>IF(P68&lt;=2,"  ← Governs","")</f>
        <v/>
      </c>
      <c r="S69" s="617" t="s">
        <v>78</v>
      </c>
      <c r="T69" s="617" t="s">
        <v>548</v>
      </c>
      <c r="U69" s="616">
        <v>2</v>
      </c>
      <c r="V69" s="630" t="str">
        <f>IF(U68&lt;=1,"  ← Governs","")</f>
        <v/>
      </c>
    </row>
    <row r="70" spans="1:25" s="549" customFormat="1" ht="15.95" customHeight="1" x14ac:dyDescent="0.15">
      <c r="N70" s="617"/>
      <c r="O70" s="629" t="s">
        <v>549</v>
      </c>
      <c r="P70" s="616">
        <f>1.93-0.43*LOG(P68)</f>
        <v>1.6758422189786053</v>
      </c>
      <c r="Q70" s="630" t="str">
        <f>IF((2&lt;+P68)*AND(P68&lt;=50),"  ← Governs","")</f>
        <v xml:space="preserve">  ← Governs</v>
      </c>
      <c r="S70" s="617"/>
      <c r="T70" s="617" t="s">
        <v>82</v>
      </c>
      <c r="U70" s="616">
        <f>2-0.353*LOG(U68)</f>
        <v>1.7913541937196458</v>
      </c>
      <c r="V70" s="630" t="str">
        <f>IF((1&lt;+U68)*AND(U68&lt;=50),"  ← Governs","")</f>
        <v xml:space="preserve">  ← Governs</v>
      </c>
    </row>
    <row r="71" spans="1:25" s="549" customFormat="1" ht="15.95" customHeight="1" x14ac:dyDescent="0.15">
      <c r="N71" s="617"/>
      <c r="O71" s="617" t="s">
        <v>550</v>
      </c>
      <c r="P71" s="616">
        <v>1.2</v>
      </c>
      <c r="Q71" s="630" t="str">
        <f>IF(P68&gt;50,"  ← Governs","")</f>
        <v/>
      </c>
      <c r="S71" s="617"/>
      <c r="T71" s="617" t="s">
        <v>550</v>
      </c>
      <c r="U71" s="616">
        <v>1.4</v>
      </c>
      <c r="V71" s="630" t="str">
        <f>IF(U68&gt;50,"  ← Governs","")</f>
        <v/>
      </c>
    </row>
    <row r="72" spans="1:25" s="549" customFormat="1" ht="15.95" customHeight="1" x14ac:dyDescent="0.15">
      <c r="N72" s="617"/>
      <c r="O72" s="606" t="s">
        <v>552</v>
      </c>
      <c r="P72" s="631">
        <f>IF(P68&lt;=2,P69,IF(P68&gt;50,P71,P70))</f>
        <v>1.6758422189786053</v>
      </c>
      <c r="Q72" s="617"/>
      <c r="S72" s="617"/>
      <c r="T72" s="606" t="s">
        <v>552</v>
      </c>
      <c r="U72" s="631">
        <f>IF(U68&lt;=1,U69,IF(U68&gt;50,U71,U70))</f>
        <v>1.7913541937196458</v>
      </c>
      <c r="V72" s="617"/>
    </row>
    <row r="73" spans="1:25" s="625" customFormat="1" ht="15.95" customHeight="1" x14ac:dyDescent="0.15">
      <c r="A73" s="549"/>
      <c r="B73" s="549"/>
      <c r="C73" s="549"/>
      <c r="D73" s="549"/>
      <c r="E73" s="549"/>
      <c r="F73" s="549"/>
      <c r="G73" s="549"/>
      <c r="H73" s="549"/>
      <c r="I73" s="549"/>
      <c r="J73" s="549"/>
      <c r="K73" s="549"/>
      <c r="L73" s="549"/>
      <c r="M73" s="549"/>
      <c r="R73" s="549"/>
      <c r="V73" s="549"/>
      <c r="W73" s="549"/>
      <c r="X73" s="549"/>
      <c r="Y73" s="549"/>
    </row>
    <row r="74" spans="1:25" s="549" customFormat="1" ht="15.95" customHeight="1" x14ac:dyDescent="0.15">
      <c r="N74" s="617" t="s">
        <v>553</v>
      </c>
      <c r="O74" s="617"/>
      <c r="P74" s="617"/>
      <c r="Q74" s="617"/>
      <c r="S74" s="617" t="s">
        <v>554</v>
      </c>
      <c r="T74" s="617"/>
      <c r="U74" s="617"/>
      <c r="V74" s="617"/>
    </row>
    <row r="75" spans="1:25" s="549" customFormat="1" ht="15.95" customHeight="1" x14ac:dyDescent="0.15">
      <c r="N75" s="617" t="s">
        <v>77</v>
      </c>
      <c r="O75" s="611" t="s">
        <v>545</v>
      </c>
      <c r="P75" s="627">
        <f>P68</f>
        <v>3.9</v>
      </c>
      <c r="Q75" s="628" t="s">
        <v>546</v>
      </c>
      <c r="S75" s="617" t="s">
        <v>77</v>
      </c>
      <c r="T75" s="611" t="s">
        <v>545</v>
      </c>
      <c r="U75" s="627">
        <f>P68</f>
        <v>3.9</v>
      </c>
      <c r="V75" s="628" t="s">
        <v>546</v>
      </c>
    </row>
    <row r="76" spans="1:25" s="549" customFormat="1" ht="15.95" customHeight="1" x14ac:dyDescent="0.15">
      <c r="N76" s="617" t="s">
        <v>78</v>
      </c>
      <c r="O76" s="629" t="s">
        <v>547</v>
      </c>
      <c r="P76" s="616">
        <v>-1.8</v>
      </c>
      <c r="Q76" s="630" t="str">
        <f>IF(P75&lt;=2,"  ← Governs","")</f>
        <v/>
      </c>
      <c r="S76" s="617" t="s">
        <v>78</v>
      </c>
      <c r="T76" s="617" t="s">
        <v>79</v>
      </c>
      <c r="U76" s="632">
        <v>-2.2000000000000002</v>
      </c>
      <c r="V76" s="630" t="str">
        <f>IF(U75&lt;=1," ← Governs","")</f>
        <v/>
      </c>
    </row>
    <row r="77" spans="1:25" s="549" customFormat="1" ht="15.95" customHeight="1" x14ac:dyDescent="0.15">
      <c r="N77" s="617"/>
      <c r="O77" s="629" t="s">
        <v>549</v>
      </c>
      <c r="P77" s="616">
        <f>-1.89+0.29*LOG(P75)</f>
        <v>-1.7185912639623151</v>
      </c>
      <c r="Q77" s="630" t="str">
        <f>IF((2&lt;+P75)*AND(P75&lt;=50),"  ← Governs","")</f>
        <v xml:space="preserve">  ← Governs</v>
      </c>
      <c r="S77" s="617"/>
      <c r="T77" s="617" t="s">
        <v>82</v>
      </c>
      <c r="U77" s="632">
        <f>-2.2+0.353*LOG(U75)</f>
        <v>-1.9913541937196459</v>
      </c>
      <c r="V77" s="633" t="str">
        <f>IF((1&lt;+U75)*AND(U75&lt;=50),"&lt;--GOVERNS","")</f>
        <v>&lt;--GOVERNS</v>
      </c>
    </row>
    <row r="78" spans="1:25" s="549" customFormat="1" ht="15.95" customHeight="1" x14ac:dyDescent="0.15">
      <c r="N78" s="617"/>
      <c r="O78" s="617" t="s">
        <v>550</v>
      </c>
      <c r="P78" s="616">
        <v>-1.4</v>
      </c>
      <c r="Q78" s="630" t="str">
        <f>IF(P75&gt;50,"  ← Governs","")</f>
        <v/>
      </c>
      <c r="S78" s="617"/>
      <c r="T78" s="617" t="s">
        <v>83</v>
      </c>
      <c r="U78" s="632">
        <v>-1.6</v>
      </c>
      <c r="V78" s="633" t="str">
        <f>IF(U75&gt;50,"&lt;--GOVERNS","")</f>
        <v/>
      </c>
    </row>
    <row r="79" spans="1:25" s="549" customFormat="1" ht="15.95" customHeight="1" x14ac:dyDescent="0.15">
      <c r="N79" s="617"/>
      <c r="O79" s="606" t="s">
        <v>552</v>
      </c>
      <c r="P79" s="631">
        <f>IF(P75&lt;=2,P76,IF(P75&gt;50,P78,P77))</f>
        <v>-1.7185912639623151</v>
      </c>
      <c r="Q79" s="617"/>
      <c r="S79" s="617"/>
      <c r="T79" s="606" t="s">
        <v>552</v>
      </c>
      <c r="U79" s="631">
        <f>IF(U75&lt;=1,U76,IF(U75&gt;50,U78,U77))</f>
        <v>-1.9913541937196459</v>
      </c>
      <c r="V79" s="617"/>
    </row>
    <row r="80" spans="1:25" s="549" customFormat="1" ht="15.95" customHeight="1" x14ac:dyDescent="0.15"/>
    <row r="81" spans="1:22" s="549" customFormat="1" ht="15.95" customHeight="1" x14ac:dyDescent="0.15">
      <c r="N81" s="617" t="s">
        <v>555</v>
      </c>
      <c r="O81" s="617"/>
      <c r="P81" s="617"/>
      <c r="Q81" s="617"/>
      <c r="S81" s="617" t="s">
        <v>556</v>
      </c>
      <c r="T81" s="617"/>
      <c r="U81" s="617"/>
      <c r="V81" s="617"/>
    </row>
    <row r="82" spans="1:22" s="549" customFormat="1" ht="15.95" customHeight="1" x14ac:dyDescent="0.15">
      <c r="A82" s="625"/>
      <c r="D82" s="625"/>
      <c r="E82" s="625"/>
      <c r="N82" s="617" t="s">
        <v>77</v>
      </c>
      <c r="O82" s="611" t="s">
        <v>545</v>
      </c>
      <c r="P82" s="627">
        <f>P68</f>
        <v>3.9</v>
      </c>
      <c r="Q82" s="628" t="s">
        <v>546</v>
      </c>
      <c r="S82" s="617" t="s">
        <v>77</v>
      </c>
      <c r="T82" s="611" t="s">
        <v>545</v>
      </c>
      <c r="U82" s="627">
        <f>P68</f>
        <v>3.9</v>
      </c>
      <c r="V82" s="628" t="s">
        <v>546</v>
      </c>
    </row>
    <row r="83" spans="1:22" s="549" customFormat="1" ht="15.95" customHeight="1" x14ac:dyDescent="0.15">
      <c r="N83" s="617" t="s">
        <v>78</v>
      </c>
      <c r="O83" s="629" t="s">
        <v>547</v>
      </c>
      <c r="P83" s="616">
        <v>-3.6</v>
      </c>
      <c r="Q83" s="630" t="str">
        <f>IF(P82&lt;=2,"  ← Governs","")</f>
        <v/>
      </c>
      <c r="S83" s="617" t="s">
        <v>78</v>
      </c>
      <c r="T83" s="617" t="s">
        <v>79</v>
      </c>
      <c r="U83" s="632">
        <v>-2.8</v>
      </c>
      <c r="V83" s="630" t="str">
        <f>IF(U82&lt;=1," ← Governs","")</f>
        <v/>
      </c>
    </row>
    <row r="84" spans="1:22" s="549" customFormat="1" ht="15.95" customHeight="1" x14ac:dyDescent="0.15">
      <c r="N84" s="617"/>
      <c r="O84" s="629" t="s">
        <v>549</v>
      </c>
      <c r="P84" s="616">
        <f>-3.94+1.14*LOG(P82)</f>
        <v>-3.266186347989791</v>
      </c>
      <c r="Q84" s="630" t="str">
        <f>IF((2&lt;+P82)*AND(P82&lt;=50),"  ← Governs","")</f>
        <v xml:space="preserve">  ← Governs</v>
      </c>
      <c r="S84" s="617"/>
      <c r="T84" s="617" t="s">
        <v>82</v>
      </c>
      <c r="U84" s="632">
        <f>-2.8+0.706*LOG(U82)</f>
        <v>-2.3827083874392914</v>
      </c>
      <c r="V84" s="633" t="str">
        <f>IF((1&lt;+U82)*AND(U82&lt;=50),"&lt;--GOVERNS","")</f>
        <v>&lt;--GOVERNS</v>
      </c>
    </row>
    <row r="85" spans="1:22" s="549" customFormat="1" ht="15.95" customHeight="1" x14ac:dyDescent="0.15">
      <c r="N85" s="617"/>
      <c r="O85" s="617" t="s">
        <v>550</v>
      </c>
      <c r="P85" s="616">
        <v>-2</v>
      </c>
      <c r="Q85" s="630" t="str">
        <f>IF(P82&gt;50,"  ← Governs","")</f>
        <v/>
      </c>
      <c r="S85" s="617"/>
      <c r="T85" s="617" t="s">
        <v>83</v>
      </c>
      <c r="U85" s="632">
        <v>-1.6</v>
      </c>
      <c r="V85" s="633" t="str">
        <f>IF(U82&gt;50,"&lt;--GOVERNS","")</f>
        <v/>
      </c>
    </row>
    <row r="86" spans="1:22" s="549" customFormat="1" ht="15.95" customHeight="1" x14ac:dyDescent="0.15">
      <c r="N86" s="617"/>
      <c r="O86" s="606" t="s">
        <v>552</v>
      </c>
      <c r="P86" s="631">
        <f>IF(P82&lt;=2,P83,IF(P82&gt;50,P85,P84))</f>
        <v>-3.266186347989791</v>
      </c>
      <c r="Q86" s="617"/>
      <c r="S86" s="617"/>
      <c r="T86" s="606" t="s">
        <v>552</v>
      </c>
      <c r="U86" s="631">
        <f>IF(U82&lt;=1,U83,IF(U82&gt;50,U85,U84))</f>
        <v>-2.3827083874392914</v>
      </c>
      <c r="V86" s="617"/>
    </row>
    <row r="87" spans="1:22" s="549" customFormat="1" ht="15.95" customHeight="1" x14ac:dyDescent="0.15"/>
    <row r="88" spans="1:22" s="549" customFormat="1" ht="15.95" customHeight="1" x14ac:dyDescent="0.15">
      <c r="B88" s="634"/>
    </row>
    <row r="89" spans="1:22" s="549" customFormat="1" ht="15.95" customHeight="1" x14ac:dyDescent="0.15"/>
    <row r="90" spans="1:22" s="549" customFormat="1" ht="15.95" customHeight="1" x14ac:dyDescent="0.15">
      <c r="G90" s="585"/>
    </row>
    <row r="91" spans="1:22" s="549" customFormat="1" ht="15.95" customHeight="1" x14ac:dyDescent="0.15">
      <c r="G91" s="585"/>
    </row>
    <row r="92" spans="1:22" s="549" customFormat="1" ht="15.95" customHeight="1" x14ac:dyDescent="0.15"/>
    <row r="93" spans="1:22" s="549" customFormat="1" ht="15.95" customHeight="1" x14ac:dyDescent="0.15"/>
    <row r="94" spans="1:22" s="549" customFormat="1" ht="15.95" customHeight="1" x14ac:dyDescent="0.15"/>
    <row r="95" spans="1:22" s="549" customFormat="1" ht="15.95" customHeight="1" x14ac:dyDescent="0.15">
      <c r="T95" s="549" t="s">
        <v>63</v>
      </c>
    </row>
    <row r="96" spans="1:22" s="549" customFormat="1" ht="15.95" customHeight="1" x14ac:dyDescent="0.15"/>
    <row r="97" spans="14:25" s="549" customFormat="1" ht="15.95" customHeight="1" x14ac:dyDescent="0.15">
      <c r="T97" s="549" t="s">
        <v>64</v>
      </c>
    </row>
    <row r="98" spans="14:25" s="549" customFormat="1" ht="15.95" customHeight="1" x14ac:dyDescent="0.15"/>
    <row r="99" spans="14:25" s="549" customFormat="1" ht="15.95" customHeight="1" x14ac:dyDescent="0.15">
      <c r="S99" s="611" t="s">
        <v>65</v>
      </c>
      <c r="T99" s="635" t="s">
        <v>66</v>
      </c>
      <c r="Y99" s="636">
        <v>0.7</v>
      </c>
    </row>
    <row r="100" spans="14:25" s="549" customFormat="1" ht="15.95" customHeight="1" x14ac:dyDescent="0.15">
      <c r="S100" s="595" t="s">
        <v>65</v>
      </c>
      <c r="T100" s="549" t="s">
        <v>67</v>
      </c>
      <c r="Y100" s="636">
        <v>0</v>
      </c>
    </row>
    <row r="101" spans="14:25" s="549" customFormat="1" ht="15.95" customHeight="1" x14ac:dyDescent="0.15">
      <c r="S101" s="595" t="s">
        <v>65</v>
      </c>
      <c r="T101" s="549" t="s">
        <v>68</v>
      </c>
      <c r="Y101" s="636">
        <v>1000</v>
      </c>
    </row>
    <row r="102" spans="14:25" s="549" customFormat="1" ht="15.95" customHeight="1" x14ac:dyDescent="0.15">
      <c r="N102" s="617"/>
      <c r="O102" s="617"/>
      <c r="P102" s="617"/>
      <c r="Q102" s="617"/>
      <c r="S102" s="595" t="s">
        <v>65</v>
      </c>
      <c r="T102" s="635" t="s">
        <v>69</v>
      </c>
      <c r="Y102" s="636">
        <v>2500</v>
      </c>
    </row>
    <row r="103" spans="14:25" s="549" customFormat="1" ht="15.95" customHeight="1" x14ac:dyDescent="0.15"/>
    <row r="104" spans="14:25" s="549" customFormat="1" ht="15.95" customHeight="1" x14ac:dyDescent="0.15">
      <c r="T104" s="637" t="s">
        <v>70</v>
      </c>
      <c r="U104" s="637" t="s">
        <v>71</v>
      </c>
      <c r="V104" s="637" t="s">
        <v>72</v>
      </c>
    </row>
    <row r="105" spans="14:25" s="549" customFormat="1" ht="15.95" customHeight="1" x14ac:dyDescent="0.15">
      <c r="T105" s="638">
        <v>2</v>
      </c>
      <c r="U105" s="637">
        <v>1</v>
      </c>
      <c r="V105" s="637">
        <v>2</v>
      </c>
    </row>
    <row r="106" spans="14:25" s="549" customFormat="1" ht="15.95" customHeight="1" x14ac:dyDescent="0.15"/>
    <row r="107" spans="14:25" s="549" customFormat="1" ht="15.95" customHeight="1" x14ac:dyDescent="0.15">
      <c r="T107" s="639" t="s">
        <v>73</v>
      </c>
      <c r="U107" s="639" t="s">
        <v>74</v>
      </c>
      <c r="V107" s="640" t="s">
        <v>75</v>
      </c>
    </row>
    <row r="108" spans="14:25" s="549" customFormat="1" ht="15.95" customHeight="1" x14ac:dyDescent="0.15">
      <c r="T108" s="641">
        <v>1</v>
      </c>
      <c r="U108" s="642">
        <v>1</v>
      </c>
      <c r="V108" s="643">
        <v>2</v>
      </c>
    </row>
    <row r="109" spans="14:25" s="549" customFormat="1" ht="15.95" customHeight="1" x14ac:dyDescent="0.15">
      <c r="N109" s="644"/>
      <c r="O109" s="644"/>
      <c r="P109" s="644"/>
      <c r="Q109" s="644"/>
    </row>
    <row r="110" spans="14:25" s="549" customFormat="1" ht="15.95" customHeight="1" x14ac:dyDescent="0.15">
      <c r="T110" s="617" t="s">
        <v>76</v>
      </c>
      <c r="U110" s="617"/>
    </row>
    <row r="111" spans="14:25" s="549" customFormat="1" ht="15.95" customHeight="1" x14ac:dyDescent="0.2">
      <c r="S111" s="617"/>
      <c r="T111" s="635" t="s">
        <v>80</v>
      </c>
      <c r="U111" s="635" t="s">
        <v>81</v>
      </c>
    </row>
    <row r="112" spans="14:25" s="549" customFormat="1" ht="15.95" customHeight="1" x14ac:dyDescent="0.15">
      <c r="S112" s="617"/>
      <c r="T112" s="617" t="s">
        <v>84</v>
      </c>
      <c r="U112" s="645">
        <f>1+(IF(T105=1,U114,U115)*U116*U119/(1+3.7*U121))</f>
        <v>1.6373465091635866</v>
      </c>
    </row>
    <row r="113" spans="19:22" s="549" customFormat="1" ht="15.95" customHeight="1" x14ac:dyDescent="0.15">
      <c r="S113" s="646" t="s">
        <v>85</v>
      </c>
      <c r="U113" s="617"/>
    </row>
    <row r="114" spans="19:22" s="549" customFormat="1" ht="15.95" customHeight="1" x14ac:dyDescent="0.2">
      <c r="T114" s="635" t="s">
        <v>86</v>
      </c>
      <c r="U114" s="647">
        <v>1.4</v>
      </c>
      <c r="V114" s="635"/>
    </row>
    <row r="115" spans="19:22" s="549" customFormat="1" ht="15.95" customHeight="1" x14ac:dyDescent="0.2">
      <c r="T115" s="635"/>
      <c r="U115" s="647">
        <f>IF(3.2&lt;(1.4+3.6*(Y99-0.05)),(1.4+3.6*(Y99-0.05)),3.2)</f>
        <v>3.7399999999999998</v>
      </c>
      <c r="V115" s="635" t="s">
        <v>87</v>
      </c>
    </row>
    <row r="116" spans="19:22" s="549" customFormat="1" ht="15.95" customHeight="1" x14ac:dyDescent="0.15">
      <c r="T116" s="635" t="s">
        <v>88</v>
      </c>
      <c r="U116" s="635">
        <f>IF(U120&gt;0.3,(1-(ABS(Y100)/(1.5*(U118))))*(1-(0.6*U123/Y101)),(1-(ABS(Y100)/(1.5*U118)))*(1-(U123/Y102)))</f>
        <v>0.996</v>
      </c>
      <c r="V116" s="635" t="s">
        <v>89</v>
      </c>
    </row>
    <row r="117" spans="19:22" s="549" customFormat="1" ht="15.95" customHeight="1" x14ac:dyDescent="0.2">
      <c r="T117" s="635"/>
      <c r="U117" s="635"/>
      <c r="V117" s="635" t="s">
        <v>90</v>
      </c>
    </row>
    <row r="118" spans="19:22" s="549" customFormat="1" ht="15.95" customHeight="1" x14ac:dyDescent="0.15">
      <c r="S118" s="595"/>
      <c r="T118" s="549" t="s">
        <v>91</v>
      </c>
      <c r="U118" s="549">
        <f>IF(T108=1,IF(U120&gt;0.3,1.7*Y101,Y102),IF(T105=1,MAX(2*Y102,3.33*Y101),MAX(Y102,1.7*Y101)))</f>
        <v>2500</v>
      </c>
    </row>
    <row r="119" spans="19:22" s="549" customFormat="1" ht="15.95" customHeight="1" x14ac:dyDescent="0.15">
      <c r="T119" s="635" t="s">
        <v>92</v>
      </c>
      <c r="U119" s="549">
        <f>IF(U120&lt;0.3,U120,0.3)</f>
        <v>0.3</v>
      </c>
      <c r="V119" s="549" t="s">
        <v>93</v>
      </c>
    </row>
    <row r="120" spans="19:22" s="549" customFormat="1" ht="15.95" customHeight="1" x14ac:dyDescent="0.15">
      <c r="T120" s="635" t="s">
        <v>94</v>
      </c>
      <c r="U120" s="549">
        <v>0.3</v>
      </c>
      <c r="V120" s="549" t="s">
        <v>95</v>
      </c>
    </row>
    <row r="121" spans="19:22" s="549" customFormat="1" ht="15.95" customHeight="1" x14ac:dyDescent="0.2">
      <c r="T121" s="635" t="s">
        <v>96</v>
      </c>
      <c r="U121" s="549">
        <f>0.1*(U123/U122)^(-I51-0.05)</f>
        <v>0.20361680046403985</v>
      </c>
      <c r="V121" s="635" t="s">
        <v>97</v>
      </c>
    </row>
    <row r="122" spans="19:22" s="549" customFormat="1" ht="15.95" customHeight="1" x14ac:dyDescent="0.2">
      <c r="T122" s="635" t="s">
        <v>98</v>
      </c>
      <c r="U122" s="648">
        <f>I49</f>
        <v>350</v>
      </c>
      <c r="V122" s="635" t="s">
        <v>99</v>
      </c>
    </row>
    <row r="123" spans="19:22" s="549" customFormat="1" ht="15.95" customHeight="1" x14ac:dyDescent="0.15">
      <c r="T123" s="549" t="s">
        <v>46</v>
      </c>
      <c r="U123" s="649">
        <f>I50</f>
        <v>10</v>
      </c>
      <c r="V123" s="635" t="s">
        <v>100</v>
      </c>
    </row>
    <row r="124" spans="19:22" s="549" customFormat="1" ht="15.95" customHeight="1" x14ac:dyDescent="0.15"/>
    <row r="125" spans="19:22" s="549" customFormat="1" ht="15.95" customHeight="1" x14ac:dyDescent="0.15"/>
    <row r="126" spans="19:22" s="549" customFormat="1" ht="15.95" customHeight="1" x14ac:dyDescent="0.15"/>
    <row r="127" spans="19:22" s="549" customFormat="1" ht="15.95" customHeight="1" x14ac:dyDescent="0.15"/>
    <row r="128" spans="19:22" s="549" customFormat="1" ht="15.95" customHeight="1" x14ac:dyDescent="0.15"/>
    <row r="129" spans="2:5" s="549" customFormat="1" ht="15.95" customHeight="1" x14ac:dyDescent="0.15"/>
    <row r="130" spans="2:5" s="549" customFormat="1" ht="15.95" customHeight="1" x14ac:dyDescent="0.15">
      <c r="B130" s="634"/>
    </row>
    <row r="131" spans="2:5" s="549" customFormat="1" ht="15.95" customHeight="1" x14ac:dyDescent="0.15"/>
    <row r="132" spans="2:5" s="549" customFormat="1" ht="15.95" customHeight="1" x14ac:dyDescent="0.15"/>
    <row r="133" spans="2:5" s="549" customFormat="1" ht="15.95" customHeight="1" x14ac:dyDescent="0.15"/>
    <row r="134" spans="2:5" s="549" customFormat="1" ht="15.95" customHeight="1" x14ac:dyDescent="0.15"/>
    <row r="135" spans="2:5" s="549" customFormat="1" ht="15.95" customHeight="1" x14ac:dyDescent="0.15"/>
    <row r="136" spans="2:5" s="549" customFormat="1" ht="15.95" customHeight="1" x14ac:dyDescent="0.15"/>
    <row r="137" spans="2:5" s="549" customFormat="1" ht="15.95" customHeight="1" x14ac:dyDescent="0.15"/>
    <row r="138" spans="2:5" s="549" customFormat="1" ht="15.95" customHeight="1" x14ac:dyDescent="0.15">
      <c r="E138" s="611"/>
    </row>
    <row r="139" spans="2:5" s="549" customFormat="1" ht="15.95" customHeight="1" x14ac:dyDescent="0.15">
      <c r="E139" s="611"/>
    </row>
    <row r="140" spans="2:5" s="549" customFormat="1" ht="15.95" customHeight="1" x14ac:dyDescent="0.15"/>
    <row r="141" spans="2:5" s="549" customFormat="1" ht="15.95" customHeight="1" x14ac:dyDescent="0.15"/>
    <row r="142" spans="2:5" s="549" customFormat="1" ht="15.95" customHeight="1" x14ac:dyDescent="0.15"/>
    <row r="143" spans="2:5" s="549" customFormat="1" ht="15.95" customHeight="1" x14ac:dyDescent="0.15"/>
    <row r="144" spans="2:5" s="549" customFormat="1" ht="15.95" customHeight="1" x14ac:dyDescent="0.15"/>
    <row r="145" spans="5:13" s="549" customFormat="1" ht="15.95" customHeight="1" x14ac:dyDescent="0.15"/>
    <row r="146" spans="5:13" s="549" customFormat="1" ht="15.95" customHeight="1" x14ac:dyDescent="0.15">
      <c r="E146" s="650"/>
    </row>
    <row r="147" spans="5:13" s="549" customFormat="1" ht="15.95" customHeight="1" x14ac:dyDescent="0.15"/>
    <row r="148" spans="5:13" s="549" customFormat="1" ht="15.95" customHeight="1" x14ac:dyDescent="0.15"/>
    <row r="149" spans="5:13" s="549" customFormat="1" ht="15.95" customHeight="1" x14ac:dyDescent="0.15"/>
    <row r="150" spans="5:13" s="549" customFormat="1" ht="15.95" customHeight="1" x14ac:dyDescent="0.15"/>
    <row r="151" spans="5:13" s="549" customFormat="1" ht="15.95" customHeight="1" x14ac:dyDescent="0.15"/>
    <row r="152" spans="5:13" s="549" customFormat="1" ht="15.95" customHeight="1" x14ac:dyDescent="0.15"/>
    <row r="153" spans="5:13" x14ac:dyDescent="0.15">
      <c r="J153" s="651"/>
      <c r="K153" s="651"/>
      <c r="L153" s="651"/>
      <c r="M153" s="651"/>
    </row>
    <row r="154" spans="5:13" x14ac:dyDescent="0.15">
      <c r="J154" s="651"/>
      <c r="K154" s="651"/>
      <c r="L154" s="651"/>
      <c r="M154" s="651"/>
    </row>
    <row r="155" spans="5:13" x14ac:dyDescent="0.15">
      <c r="J155" s="651"/>
      <c r="K155" s="651"/>
      <c r="L155" s="651"/>
      <c r="M155" s="651"/>
    </row>
    <row r="156" spans="5:13" x14ac:dyDescent="0.15">
      <c r="J156" s="651"/>
      <c r="K156" s="651"/>
      <c r="L156" s="651"/>
      <c r="M156" s="651"/>
    </row>
  </sheetData>
  <sheetProtection algorithmName="SHA-512" hashValue="0hdaPUOmrsEvA+2T6X+3J6iabLfFQbW7CBlfhuSsK9c2ci5jQ3xF4jD2YvRqt98+ApnPheZHgMXJSM1TTiPMHg==" saltValue="9H6GnqDiXeqhy/EnJ3S66g==" spinCount="100000" sheet="1" objects="1" scenarios="1" selectLockedCells="1" selectUnlockedCells="1"/>
  <mergeCells count="16">
    <mergeCell ref="H44:L44"/>
    <mergeCell ref="O21:P21"/>
    <mergeCell ref="R21:S21"/>
    <mergeCell ref="C22:C23"/>
    <mergeCell ref="D22:D25"/>
    <mergeCell ref="E22:E25"/>
    <mergeCell ref="F22:F25"/>
    <mergeCell ref="G22:G23"/>
    <mergeCell ref="C24:C25"/>
    <mergeCell ref="G24:G25"/>
    <mergeCell ref="C20:C21"/>
    <mergeCell ref="D20:D21"/>
    <mergeCell ref="E20:E21"/>
    <mergeCell ref="F20:G20"/>
    <mergeCell ref="H20:H21"/>
    <mergeCell ref="I20:J20"/>
  </mergeCells>
  <phoneticPr fontId="1" type="noConversion"/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9" shapeId="108545" r:id="rId4">
          <objectPr defaultSize="0" autoPict="0" r:id="rId5">
            <anchor moveWithCells="1">
              <from>
                <xdr:col>2</xdr:col>
                <xdr:colOff>0</xdr:colOff>
                <xdr:row>31</xdr:row>
                <xdr:rowOff>57150</xdr:rowOff>
              </from>
              <to>
                <xdr:col>5</xdr:col>
                <xdr:colOff>66675</xdr:colOff>
                <xdr:row>42</xdr:row>
                <xdr:rowOff>180975</xdr:rowOff>
              </to>
            </anchor>
          </objectPr>
        </oleObject>
      </mc:Choice>
      <mc:Fallback>
        <oleObject progId="AutoCAD.Drawing.19" shapeId="10854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00B0F0"/>
  </sheetPr>
  <dimension ref="A1:AA276"/>
  <sheetViews>
    <sheetView view="pageBreakPreview" zoomScale="75" zoomScaleNormal="100" zoomScaleSheetLayoutView="75" workbookViewId="0"/>
  </sheetViews>
  <sheetFormatPr defaultRowHeight="15.95" customHeight="1" x14ac:dyDescent="0.15"/>
  <cols>
    <col min="1" max="1" width="2.77734375" style="8" customWidth="1"/>
    <col min="2" max="2" width="7.33203125" style="8" customWidth="1"/>
    <col min="3" max="3" width="5.33203125" style="8" customWidth="1"/>
    <col min="4" max="4" width="9.33203125" style="8" customWidth="1"/>
    <col min="5" max="5" width="5.33203125" style="8" customWidth="1"/>
    <col min="6" max="6" width="9.33203125" style="8" customWidth="1"/>
    <col min="7" max="8" width="7.33203125" style="8" customWidth="1"/>
    <col min="9" max="9" width="5.33203125" style="8" customWidth="1"/>
    <col min="10" max="10" width="9.33203125" style="8" customWidth="1"/>
    <col min="11" max="11" width="7.33203125" style="8" customWidth="1"/>
    <col min="12" max="12" width="2.77734375" style="8" customWidth="1"/>
    <col min="13" max="14" width="6.77734375" style="8" customWidth="1"/>
    <col min="15" max="15" width="8.77734375" style="8" customWidth="1"/>
    <col min="16" max="16" width="9.77734375" style="8" customWidth="1"/>
    <col min="17" max="17" width="6.77734375" style="8" customWidth="1"/>
    <col min="18" max="18" width="8.77734375" style="8" customWidth="1"/>
    <col min="19" max="20" width="6.77734375" style="8" customWidth="1"/>
    <col min="21" max="21" width="9.77734375" style="8" customWidth="1"/>
    <col min="22" max="22" width="8.88671875" style="22"/>
    <col min="23" max="23" width="5.77734375" style="8" customWidth="1"/>
    <col min="24" max="24" width="5.77734375" style="22" customWidth="1"/>
    <col min="25" max="25" width="5.77734375" style="8" customWidth="1"/>
    <col min="26" max="26" width="5.77734375" style="22" customWidth="1"/>
    <col min="27" max="27" width="11.109375" style="8" customWidth="1"/>
    <col min="28" max="16384" width="8.88671875" style="8"/>
  </cols>
  <sheetData>
    <row r="1" spans="1:27" ht="15.95" customHeight="1" x14ac:dyDescent="0.15">
      <c r="A1" s="60" t="s">
        <v>233</v>
      </c>
    </row>
    <row r="3" spans="1:27" ht="15.95" customHeight="1" x14ac:dyDescent="0.15">
      <c r="B3" s="61" t="s">
        <v>102</v>
      </c>
    </row>
    <row r="4" spans="1:27" ht="15.95" customHeight="1" x14ac:dyDescent="0.15">
      <c r="V4" s="64" t="s">
        <v>200</v>
      </c>
      <c r="W4" s="8">
        <f>W18*Y18</f>
        <v>60</v>
      </c>
      <c r="X4" s="64" t="s">
        <v>201</v>
      </c>
      <c r="Y4" s="8">
        <f>Y18/2</f>
        <v>15</v>
      </c>
      <c r="Z4" s="64" t="s">
        <v>202</v>
      </c>
      <c r="AA4" s="8">
        <f>W17+Y16/2</f>
        <v>30</v>
      </c>
    </row>
    <row r="5" spans="1:27" ht="15.95" customHeight="1" x14ac:dyDescent="0.15">
      <c r="B5" s="62" t="s">
        <v>103</v>
      </c>
      <c r="C5" s="4" t="s">
        <v>44</v>
      </c>
      <c r="D5" s="26">
        <f>(SUMPRODUCT((N8:N10=N7)*(O7:P7=M7),O8:P10))</f>
        <v>0</v>
      </c>
      <c r="E5" s="27" t="s">
        <v>560</v>
      </c>
      <c r="H5" s="20" t="s">
        <v>113</v>
      </c>
      <c r="J5" s="33"/>
      <c r="M5" s="22"/>
      <c r="P5" s="2"/>
      <c r="Q5" s="2"/>
      <c r="V5" s="64" t="s">
        <v>203</v>
      </c>
      <c r="W5" s="8">
        <f>Y16*W16</f>
        <v>112</v>
      </c>
      <c r="X5" s="64" t="s">
        <v>204</v>
      </c>
      <c r="Y5" s="8">
        <f>Y18+W16/2</f>
        <v>31</v>
      </c>
      <c r="Z5" s="64" t="s">
        <v>205</v>
      </c>
      <c r="AA5" s="8">
        <f>W17+Y16/2</f>
        <v>30</v>
      </c>
    </row>
    <row r="6" spans="1:27" ht="15.95" customHeight="1" x14ac:dyDescent="0.15">
      <c r="B6" s="62" t="s">
        <v>235</v>
      </c>
      <c r="C6" s="4" t="s">
        <v>44</v>
      </c>
      <c r="D6" s="147">
        <f>710100/100*9.80665</f>
        <v>69637.021649999995</v>
      </c>
      <c r="E6" s="27" t="s">
        <v>561</v>
      </c>
      <c r="F6" s="64" t="s">
        <v>236</v>
      </c>
      <c r="G6" s="684">
        <v>5</v>
      </c>
      <c r="H6" s="20" t="s">
        <v>248</v>
      </c>
      <c r="J6" s="27"/>
      <c r="M6" s="782" t="s">
        <v>651</v>
      </c>
      <c r="N6" s="782"/>
      <c r="O6" s="163"/>
      <c r="P6" s="164"/>
      <c r="Q6" s="10"/>
      <c r="V6" s="64" t="s">
        <v>206</v>
      </c>
      <c r="W6" s="8">
        <f>Y16*W16</f>
        <v>112</v>
      </c>
      <c r="X6" s="64" t="s">
        <v>207</v>
      </c>
      <c r="Y6" s="8">
        <f>Y18+(Y17-W16)+W16/2</f>
        <v>149</v>
      </c>
      <c r="Z6" s="64" t="s">
        <v>208</v>
      </c>
      <c r="AA6" s="8">
        <f>W17+Y16/2</f>
        <v>30</v>
      </c>
    </row>
    <row r="7" spans="1:27" ht="15.95" customHeight="1" x14ac:dyDescent="0.15">
      <c r="B7" s="62" t="s">
        <v>104</v>
      </c>
      <c r="C7" s="4" t="s">
        <v>44</v>
      </c>
      <c r="D7" s="683">
        <v>1200</v>
      </c>
      <c r="E7" s="27" t="s">
        <v>562</v>
      </c>
      <c r="H7" s="20" t="s">
        <v>114</v>
      </c>
      <c r="M7" s="685" t="s">
        <v>649</v>
      </c>
      <c r="N7" s="686">
        <v>1</v>
      </c>
      <c r="O7" s="160" t="s">
        <v>649</v>
      </c>
      <c r="P7" s="160" t="s">
        <v>650</v>
      </c>
      <c r="V7" s="64" t="s">
        <v>209</v>
      </c>
      <c r="W7" s="8">
        <f>Y17*W17</f>
        <v>240</v>
      </c>
      <c r="X7" s="64" t="s">
        <v>210</v>
      </c>
      <c r="Y7" s="8">
        <f>Y18+Y17/2</f>
        <v>90</v>
      </c>
      <c r="Z7" s="64" t="s">
        <v>211</v>
      </c>
      <c r="AA7" s="8">
        <f>W17/2</f>
        <v>1</v>
      </c>
    </row>
    <row r="8" spans="1:27" ht="15.95" customHeight="1" x14ac:dyDescent="0.15">
      <c r="B8" s="62" t="s">
        <v>105</v>
      </c>
      <c r="C8" s="4" t="s">
        <v>44</v>
      </c>
      <c r="D8" s="683">
        <v>1500</v>
      </c>
      <c r="E8" s="27" t="s">
        <v>562</v>
      </c>
      <c r="H8" s="20" t="s">
        <v>115</v>
      </c>
      <c r="M8" s="165" t="s">
        <v>557</v>
      </c>
      <c r="N8" s="161">
        <v>1</v>
      </c>
      <c r="O8" s="162" t="str">
        <f>'WIND LOAD'!$T$7</f>
        <v>-</v>
      </c>
      <c r="P8" s="162">
        <f>'WIND LOAD'!$U$7</f>
        <v>0.96</v>
      </c>
      <c r="V8" s="64" t="s">
        <v>212</v>
      </c>
      <c r="W8" s="8">
        <f>Y17*W17</f>
        <v>240</v>
      </c>
      <c r="X8" s="64" t="s">
        <v>213</v>
      </c>
      <c r="Y8" s="8">
        <f>Y18+Y17/2</f>
        <v>90</v>
      </c>
      <c r="Z8" s="64" t="s">
        <v>214</v>
      </c>
      <c r="AA8" s="8">
        <f>W17+Y16+W17/2</f>
        <v>59</v>
      </c>
    </row>
    <row r="9" spans="1:27" ht="15.95" customHeight="1" x14ac:dyDescent="0.15">
      <c r="B9" s="64" t="s">
        <v>106</v>
      </c>
      <c r="C9" s="4" t="s">
        <v>44</v>
      </c>
      <c r="D9" s="683">
        <v>5000</v>
      </c>
      <c r="E9" s="27" t="s">
        <v>562</v>
      </c>
      <c r="H9" s="20" t="s">
        <v>443</v>
      </c>
      <c r="J9" s="27"/>
      <c r="M9" s="165" t="s">
        <v>558</v>
      </c>
      <c r="N9" s="161">
        <v>2</v>
      </c>
      <c r="O9" s="162" t="str">
        <f>'WIND LOAD'!$T$8</f>
        <v>-</v>
      </c>
      <c r="P9" s="162">
        <f>'WIND LOAD'!$U$8</f>
        <v>-0.82599999999999996</v>
      </c>
      <c r="V9" s="64"/>
      <c r="X9" s="64"/>
      <c r="Z9" s="64"/>
    </row>
    <row r="10" spans="1:27" ht="15.95" customHeight="1" x14ac:dyDescent="0.15">
      <c r="B10" s="64" t="s">
        <v>107</v>
      </c>
      <c r="C10" s="4" t="s">
        <v>44</v>
      </c>
      <c r="D10" s="683">
        <v>250</v>
      </c>
      <c r="E10" s="27" t="s">
        <v>562</v>
      </c>
      <c r="H10" s="20" t="s">
        <v>444</v>
      </c>
      <c r="J10" s="27"/>
      <c r="M10" s="165" t="s">
        <v>559</v>
      </c>
      <c r="N10" s="161">
        <v>3</v>
      </c>
      <c r="O10" s="162" t="str">
        <f>'WIND LOAD'!$T$9</f>
        <v>-</v>
      </c>
      <c r="P10" s="162">
        <f>'WIND LOAD'!$U$9</f>
        <v>-0.98899999999999999</v>
      </c>
      <c r="V10" s="64" t="s">
        <v>215</v>
      </c>
      <c r="W10" s="8">
        <f>Y4-AA12</f>
        <v>-69.109947643979055</v>
      </c>
      <c r="X10" s="64" t="s">
        <v>216</v>
      </c>
      <c r="Y10" s="8">
        <f>AA4-AA13</f>
        <v>0</v>
      </c>
      <c r="Z10" s="64" t="s">
        <v>217</v>
      </c>
      <c r="AA10" s="8">
        <f>W4*Y4+W5*Y5+W6*Y6+W7*Y7+W8*Y8</f>
        <v>64260</v>
      </c>
    </row>
    <row r="11" spans="1:27" ht="15.95" customHeight="1" x14ac:dyDescent="0.15">
      <c r="B11" s="64" t="s">
        <v>108</v>
      </c>
      <c r="C11" s="4" t="s">
        <v>44</v>
      </c>
      <c r="D11" s="151">
        <f>D9-D10</f>
        <v>4750</v>
      </c>
      <c r="E11" s="27" t="s">
        <v>562</v>
      </c>
      <c r="H11" s="20" t="s">
        <v>445</v>
      </c>
      <c r="V11" s="64" t="s">
        <v>219</v>
      </c>
      <c r="W11" s="8">
        <f>Y5-AA12</f>
        <v>-53.109947643979055</v>
      </c>
      <c r="X11" s="64" t="s">
        <v>220</v>
      </c>
      <c r="Y11" s="8">
        <f>AA5-AA13</f>
        <v>0</v>
      </c>
      <c r="Z11" s="64" t="s">
        <v>221</v>
      </c>
      <c r="AA11" s="8">
        <f>W4*AA4+W5*AA5+W6*AA6+W7*AA7+W8*AA8</f>
        <v>22920</v>
      </c>
    </row>
    <row r="12" spans="1:27" ht="15.95" customHeight="1" x14ac:dyDescent="0.15">
      <c r="B12" s="64" t="s">
        <v>442</v>
      </c>
      <c r="C12" s="4" t="s">
        <v>44</v>
      </c>
      <c r="D12" s="683">
        <v>2600</v>
      </c>
      <c r="E12" s="27" t="s">
        <v>562</v>
      </c>
      <c r="H12" s="20" t="s">
        <v>116</v>
      </c>
      <c r="V12" s="64" t="s">
        <v>222</v>
      </c>
      <c r="W12" s="8">
        <f>Y6-AA12</f>
        <v>64.890052356020945</v>
      </c>
      <c r="X12" s="64" t="s">
        <v>223</v>
      </c>
      <c r="Y12" s="8">
        <f>AA6-AA13</f>
        <v>0</v>
      </c>
      <c r="Z12" s="64" t="s">
        <v>224</v>
      </c>
      <c r="AA12" s="8">
        <f>AA10/(W4+W5+W6+W7+W8)</f>
        <v>84.109947643979055</v>
      </c>
    </row>
    <row r="13" spans="1:27" ht="15.95" customHeight="1" x14ac:dyDescent="0.15">
      <c r="M13" s="140"/>
      <c r="N13" s="786"/>
      <c r="O13" s="786"/>
      <c r="V13" s="64" t="s">
        <v>225</v>
      </c>
      <c r="W13" s="8">
        <f>Y7-AA12</f>
        <v>5.890052356020945</v>
      </c>
      <c r="X13" s="64" t="s">
        <v>226</v>
      </c>
      <c r="Y13" s="8">
        <f>AA7-AA13</f>
        <v>-29</v>
      </c>
      <c r="Z13" s="64" t="s">
        <v>227</v>
      </c>
      <c r="AA13" s="8">
        <f>AA11/(W4+W5+W6+W7+W8)</f>
        <v>30</v>
      </c>
    </row>
    <row r="14" spans="1:27" ht="15.95" customHeight="1" x14ac:dyDescent="0.15">
      <c r="B14" s="20" t="s">
        <v>109</v>
      </c>
      <c r="C14" s="4" t="s">
        <v>44</v>
      </c>
      <c r="D14" s="147">
        <f>(J85-J177)</f>
        <v>0</v>
      </c>
      <c r="E14" s="27" t="s">
        <v>618</v>
      </c>
      <c r="F14" s="20"/>
      <c r="G14" s="64" t="s">
        <v>592</v>
      </c>
      <c r="H14" s="137" t="s">
        <v>110</v>
      </c>
      <c r="I14" s="4" t="s">
        <v>44</v>
      </c>
      <c r="J14" s="92">
        <f>D222</f>
        <v>0</v>
      </c>
      <c r="K14" s="67" t="str">
        <f>IF(J14&lt;1,"O.K","N.G")</f>
        <v>O.K</v>
      </c>
      <c r="M14" s="140"/>
      <c r="N14" s="786"/>
      <c r="O14" s="786"/>
      <c r="V14" s="64" t="s">
        <v>228</v>
      </c>
      <c r="W14" s="8">
        <f>Y8-AA12</f>
        <v>5.890052356020945</v>
      </c>
      <c r="X14" s="64" t="s">
        <v>229</v>
      </c>
      <c r="Y14" s="8">
        <f>AA8-AA13</f>
        <v>29</v>
      </c>
      <c r="Z14" s="64" t="s">
        <v>230</v>
      </c>
      <c r="AA14" s="8">
        <f>((W18*Y18*Y18*Y18)/12+W4*W10*W10)+((Y16*W16*W16*W16)/12+W5*W11*W11)+((Y16*W16*W16*W16)/12+W6*W12*W12)+((W17*Y17*Y17*Y17)/12+W7*W13*W13)+((W17*Y17*Y17*Y17)/12+W8*W14*W14)</f>
        <v>1671313.4310645724</v>
      </c>
    </row>
    <row r="15" spans="1:27" ht="15.95" customHeight="1" x14ac:dyDescent="0.15">
      <c r="G15" s="64" t="s">
        <v>593</v>
      </c>
      <c r="H15" s="137" t="s">
        <v>110</v>
      </c>
      <c r="I15" s="4" t="s">
        <v>44</v>
      </c>
      <c r="J15" s="92">
        <f>D255</f>
        <v>0</v>
      </c>
      <c r="K15" s="67" t="str">
        <f>IF(J15&lt;1,"O.K","N.G")</f>
        <v>O.K</v>
      </c>
      <c r="O15" s="2"/>
      <c r="P15" s="147"/>
      <c r="Q15" s="27"/>
      <c r="Z15" s="64" t="s">
        <v>231</v>
      </c>
      <c r="AA15" s="8">
        <f>((Y18*W18*W18*W18)/12+W4*Y10*Y10)+((W16*Y16*Y16*Y16)/12+W5*Y11*Y11)+((W16*Y16*Y16*Y16)/12+W6*Y12*Y12)+((Y17*W17*W17*W17)/12+W7*Y13*Y13)+((Y17*W17*W17*W17)/12+W8*Y14*Y14)</f>
        <v>462398.66666666663</v>
      </c>
    </row>
    <row r="16" spans="1:27" ht="15.95" customHeight="1" x14ac:dyDescent="0.15">
      <c r="B16" s="20" t="s">
        <v>587</v>
      </c>
      <c r="C16" s="4" t="s">
        <v>44</v>
      </c>
      <c r="D16" s="63">
        <f>D91-D183+(D88+D180)/2</f>
        <v>0</v>
      </c>
      <c r="E16" s="27" t="s">
        <v>562</v>
      </c>
      <c r="F16" s="20"/>
      <c r="O16" s="2"/>
      <c r="P16" s="414"/>
      <c r="Q16" s="2"/>
      <c r="V16" s="64" t="s">
        <v>566</v>
      </c>
      <c r="W16" s="8">
        <f>O25</f>
        <v>2</v>
      </c>
      <c r="X16" s="64" t="s">
        <v>569</v>
      </c>
      <c r="Y16" s="8">
        <f>O29</f>
        <v>56</v>
      </c>
    </row>
    <row r="17" spans="2:25" ht="15.95" customHeight="1" x14ac:dyDescent="0.15">
      <c r="B17" s="20" t="s">
        <v>588</v>
      </c>
      <c r="C17" s="4" t="s">
        <v>44</v>
      </c>
      <c r="D17" s="63">
        <f>D269</f>
        <v>27.18333333333333</v>
      </c>
      <c r="E17" s="27" t="s">
        <v>562</v>
      </c>
      <c r="H17" s="64" t="s">
        <v>112</v>
      </c>
      <c r="I17" s="4" t="s">
        <v>44</v>
      </c>
      <c r="J17" s="92">
        <f>D274</f>
        <v>0</v>
      </c>
      <c r="K17" s="67" t="str">
        <f>IF(J17&lt;1,"O.K","N.G")</f>
        <v>O.K</v>
      </c>
      <c r="O17" s="2"/>
      <c r="P17" s="412"/>
      <c r="Q17" s="27"/>
      <c r="V17" s="64" t="s">
        <v>565</v>
      </c>
      <c r="W17" s="8">
        <f>O26</f>
        <v>2</v>
      </c>
      <c r="X17" s="64" t="s">
        <v>567</v>
      </c>
      <c r="Y17" s="8">
        <f>O23</f>
        <v>120</v>
      </c>
    </row>
    <row r="18" spans="2:25" ht="15.95" customHeight="1" x14ac:dyDescent="0.15">
      <c r="O18" s="2"/>
      <c r="P18" s="414"/>
      <c r="Q18" s="2"/>
      <c r="V18" s="64" t="s">
        <v>571</v>
      </c>
      <c r="W18" s="8">
        <f>O27</f>
        <v>2</v>
      </c>
      <c r="X18" s="64" t="s">
        <v>568</v>
      </c>
      <c r="Y18" s="8">
        <f>O24</f>
        <v>30</v>
      </c>
    </row>
    <row r="19" spans="2:25" ht="15.95" customHeight="1" x14ac:dyDescent="0.15">
      <c r="B19" s="61" t="s">
        <v>122</v>
      </c>
      <c r="E19" s="33"/>
      <c r="H19" s="61" t="s">
        <v>589</v>
      </c>
      <c r="J19" s="682">
        <v>1</v>
      </c>
      <c r="Q19" s="4"/>
    </row>
    <row r="20" spans="2:25" ht="15.95" customHeight="1" thickBot="1" x14ac:dyDescent="0.2">
      <c r="K20" s="65"/>
      <c r="L20" s="65"/>
      <c r="M20" s="65"/>
    </row>
    <row r="21" spans="2:25" ht="15.95" customHeight="1" thickBot="1" x14ac:dyDescent="0.2">
      <c r="B21" s="121"/>
      <c r="C21" s="122"/>
      <c r="D21" s="122"/>
      <c r="E21" s="122"/>
      <c r="F21" s="122"/>
      <c r="G21" s="122"/>
      <c r="H21" s="122"/>
      <c r="I21" s="122"/>
      <c r="J21" s="122"/>
      <c r="K21" s="123"/>
      <c r="N21" s="121" t="s">
        <v>333</v>
      </c>
      <c r="O21" s="122"/>
      <c r="P21" s="122"/>
      <c r="Q21" s="121" t="s">
        <v>334</v>
      </c>
      <c r="R21" s="122"/>
      <c r="S21" s="123"/>
    </row>
    <row r="22" spans="2:25" ht="15.95" customHeight="1" x14ac:dyDescent="0.15">
      <c r="B22" s="75"/>
      <c r="K22" s="94"/>
      <c r="N22" s="68" t="s">
        <v>57</v>
      </c>
      <c r="O22" s="687">
        <v>60</v>
      </c>
      <c r="P22" s="129" t="s">
        <v>572</v>
      </c>
      <c r="Q22" s="68" t="s">
        <v>57</v>
      </c>
      <c r="R22" s="687">
        <v>60</v>
      </c>
      <c r="S22" s="69" t="s">
        <v>572</v>
      </c>
    </row>
    <row r="23" spans="2:25" ht="15.95" customHeight="1" x14ac:dyDescent="0.15">
      <c r="B23" s="75"/>
      <c r="K23" s="94"/>
      <c r="N23" s="55" t="s">
        <v>244</v>
      </c>
      <c r="O23" s="688">
        <v>120</v>
      </c>
      <c r="P23" s="27" t="s">
        <v>572</v>
      </c>
      <c r="Q23" s="55" t="s">
        <v>244</v>
      </c>
      <c r="R23" s="688">
        <v>120</v>
      </c>
      <c r="S23" s="70" t="s">
        <v>572</v>
      </c>
    </row>
    <row r="24" spans="2:25" ht="15.95" customHeight="1" x14ac:dyDescent="0.15">
      <c r="B24" s="75"/>
      <c r="K24" s="94"/>
      <c r="N24" s="55" t="s">
        <v>249</v>
      </c>
      <c r="O24" s="688">
        <v>30</v>
      </c>
      <c r="P24" s="27" t="s">
        <v>572</v>
      </c>
      <c r="Q24" s="75"/>
      <c r="R24" s="689"/>
      <c r="S24" s="94"/>
    </row>
    <row r="25" spans="2:25" ht="15.95" customHeight="1" x14ac:dyDescent="0.15">
      <c r="B25" s="75"/>
      <c r="K25" s="94"/>
      <c r="N25" s="55" t="s">
        <v>118</v>
      </c>
      <c r="O25" s="688">
        <v>2</v>
      </c>
      <c r="P25" s="27" t="s">
        <v>572</v>
      </c>
      <c r="Q25" s="55" t="s">
        <v>118</v>
      </c>
      <c r="R25" s="688">
        <v>2</v>
      </c>
      <c r="S25" s="70" t="s">
        <v>572</v>
      </c>
    </row>
    <row r="26" spans="2:25" ht="15.95" customHeight="1" x14ac:dyDescent="0.15">
      <c r="B26" s="75"/>
      <c r="K26" s="94"/>
      <c r="N26" s="55" t="s">
        <v>570</v>
      </c>
      <c r="O26" s="688">
        <v>2</v>
      </c>
      <c r="P26" s="27" t="s">
        <v>572</v>
      </c>
      <c r="Q26" s="55" t="s">
        <v>119</v>
      </c>
      <c r="R26" s="690">
        <v>2</v>
      </c>
      <c r="S26" s="70" t="s">
        <v>572</v>
      </c>
    </row>
    <row r="27" spans="2:25" ht="15.95" customHeight="1" thickBot="1" x14ac:dyDescent="0.2">
      <c r="B27" s="75"/>
      <c r="K27" s="94"/>
      <c r="N27" s="55" t="s">
        <v>237</v>
      </c>
      <c r="O27" s="688">
        <v>2</v>
      </c>
      <c r="P27" s="27" t="s">
        <v>572</v>
      </c>
      <c r="Q27" s="75"/>
      <c r="R27" s="689"/>
      <c r="S27" s="94"/>
    </row>
    <row r="28" spans="2:25" ht="15.95" customHeight="1" x14ac:dyDescent="0.15">
      <c r="B28" s="75"/>
      <c r="K28" s="94"/>
      <c r="N28" s="68" t="s">
        <v>241</v>
      </c>
      <c r="O28" s="126">
        <f>O23+O24</f>
        <v>150</v>
      </c>
      <c r="P28" s="69" t="s">
        <v>562</v>
      </c>
      <c r="Q28" s="75"/>
      <c r="R28" s="689"/>
      <c r="S28" s="94"/>
    </row>
    <row r="29" spans="2:25" ht="15.95" customHeight="1" x14ac:dyDescent="0.15">
      <c r="B29" s="75"/>
      <c r="K29" s="94"/>
      <c r="N29" s="55" t="s">
        <v>121</v>
      </c>
      <c r="O29" s="7">
        <f>O22-2*O26</f>
        <v>56</v>
      </c>
      <c r="P29" s="27" t="s">
        <v>562</v>
      </c>
      <c r="Q29" s="75"/>
      <c r="R29" s="689"/>
      <c r="S29" s="94"/>
    </row>
    <row r="30" spans="2:25" ht="15.95" customHeight="1" x14ac:dyDescent="0.15">
      <c r="B30" s="75"/>
      <c r="K30" s="94"/>
      <c r="N30" s="55" t="s">
        <v>238</v>
      </c>
      <c r="O30" s="7">
        <f>AA14</f>
        <v>1671313.4310645724</v>
      </c>
      <c r="P30" s="27" t="s">
        <v>573</v>
      </c>
      <c r="Q30" s="55" t="s">
        <v>238</v>
      </c>
      <c r="R30" s="688">
        <v>3779510</v>
      </c>
      <c r="S30" s="70" t="s">
        <v>573</v>
      </c>
    </row>
    <row r="31" spans="2:25" ht="15.95" customHeight="1" x14ac:dyDescent="0.15">
      <c r="B31" s="75"/>
      <c r="K31" s="94"/>
      <c r="N31" s="55" t="s">
        <v>239</v>
      </c>
      <c r="O31" s="7">
        <f>AA15</f>
        <v>462398.66666666663</v>
      </c>
      <c r="P31" s="27" t="s">
        <v>573</v>
      </c>
      <c r="Q31" s="55" t="s">
        <v>239</v>
      </c>
      <c r="R31" s="688">
        <v>652452</v>
      </c>
      <c r="S31" s="70" t="s">
        <v>576</v>
      </c>
    </row>
    <row r="32" spans="2:25" ht="15.95" customHeight="1" x14ac:dyDescent="0.15">
      <c r="B32" s="75"/>
      <c r="K32" s="94"/>
      <c r="N32" s="55" t="s">
        <v>1092</v>
      </c>
      <c r="O32" s="7">
        <f>AA13</f>
        <v>30</v>
      </c>
      <c r="P32" s="27" t="s">
        <v>562</v>
      </c>
      <c r="Q32" s="55" t="s">
        <v>1092</v>
      </c>
      <c r="R32" s="688">
        <v>30</v>
      </c>
      <c r="S32" s="70" t="s">
        <v>572</v>
      </c>
    </row>
    <row r="33" spans="2:21" ht="15.95" customHeight="1" x14ac:dyDescent="0.15">
      <c r="B33" s="55" t="s">
        <v>241</v>
      </c>
      <c r="C33" s="4" t="s">
        <v>44</v>
      </c>
      <c r="D33" s="130">
        <f>IF($J$19=1, O28,Q19)</f>
        <v>150</v>
      </c>
      <c r="E33" s="27" t="s">
        <v>572</v>
      </c>
      <c r="F33" s="691">
        <v>100</v>
      </c>
      <c r="G33" s="447" t="s">
        <v>572</v>
      </c>
      <c r="K33" s="94"/>
      <c r="N33" s="55" t="s">
        <v>1093</v>
      </c>
      <c r="O33" s="7">
        <f>AA12</f>
        <v>84.109947643979055</v>
      </c>
      <c r="P33" s="27" t="s">
        <v>562</v>
      </c>
      <c r="Q33" s="55" t="s">
        <v>1093</v>
      </c>
      <c r="R33" s="688">
        <v>95.14</v>
      </c>
      <c r="S33" s="70" t="s">
        <v>572</v>
      </c>
    </row>
    <row r="34" spans="2:21" ht="15.95" customHeight="1" x14ac:dyDescent="0.15">
      <c r="B34" s="55" t="s">
        <v>57</v>
      </c>
      <c r="C34" s="4" t="s">
        <v>44</v>
      </c>
      <c r="D34" s="130">
        <f>IF($J$19=1, O22,Q19)</f>
        <v>60</v>
      </c>
      <c r="E34" s="27" t="s">
        <v>572</v>
      </c>
      <c r="F34" s="691">
        <v>50</v>
      </c>
      <c r="G34" s="447" t="s">
        <v>572</v>
      </c>
      <c r="K34" s="94"/>
      <c r="N34" s="55" t="s">
        <v>240</v>
      </c>
      <c r="O34" s="7">
        <f>O30/O33</f>
        <v>19870.579852681814</v>
      </c>
      <c r="P34" s="27" t="s">
        <v>574</v>
      </c>
      <c r="Q34" s="55" t="s">
        <v>240</v>
      </c>
      <c r="R34" s="688">
        <f>R30/R33</f>
        <v>39725.772545722095</v>
      </c>
      <c r="S34" s="70" t="s">
        <v>577</v>
      </c>
    </row>
    <row r="35" spans="2:21" ht="15.95" customHeight="1" thickBot="1" x14ac:dyDescent="0.2">
      <c r="B35" s="55" t="s">
        <v>244</v>
      </c>
      <c r="C35" s="4" t="s">
        <v>44</v>
      </c>
      <c r="D35" s="130">
        <f>IF($J$19=1, O23,Q19)</f>
        <v>120</v>
      </c>
      <c r="E35" s="27" t="s">
        <v>572</v>
      </c>
      <c r="F35" s="135" t="s">
        <v>65</v>
      </c>
      <c r="G35" s="447" t="s">
        <v>572</v>
      </c>
      <c r="K35" s="94"/>
      <c r="N35" s="71" t="s">
        <v>395</v>
      </c>
      <c r="O35" s="127">
        <f>(2*O26*O25*(O22-O26)^2*(O23-O25)^2)/((O22*O26)+(O23*O25)-O26^2-O25^2)</f>
        <v>1064553.0909090908</v>
      </c>
      <c r="P35" s="128" t="s">
        <v>574</v>
      </c>
      <c r="Q35" s="71" t="s">
        <v>350</v>
      </c>
      <c r="R35" s="127">
        <f>(2*R26*R25*(R22-R26)^2*(R23-R25)^2)/((R22*R26)+(R23*R25)-R26^2-R25^2)</f>
        <v>1064553.0909090908</v>
      </c>
      <c r="S35" s="72" t="s">
        <v>575</v>
      </c>
    </row>
    <row r="36" spans="2:21" ht="15.95" customHeight="1" x14ac:dyDescent="0.15">
      <c r="B36" s="55" t="s">
        <v>623</v>
      </c>
      <c r="C36" s="4" t="s">
        <v>44</v>
      </c>
      <c r="D36" s="130">
        <f>IF($J$19=1, O24,Q19)</f>
        <v>30</v>
      </c>
      <c r="E36" s="27" t="s">
        <v>572</v>
      </c>
      <c r="F36" s="135" t="s">
        <v>65</v>
      </c>
      <c r="G36" s="447" t="s">
        <v>572</v>
      </c>
      <c r="H36" s="34"/>
      <c r="K36" s="94"/>
    </row>
    <row r="37" spans="2:21" ht="15.95" customHeight="1" x14ac:dyDescent="0.15">
      <c r="B37" s="55" t="s">
        <v>118</v>
      </c>
      <c r="C37" s="4" t="s">
        <v>4</v>
      </c>
      <c r="D37" s="130">
        <f>IF($J$19=1, O25,Q19)</f>
        <v>2</v>
      </c>
      <c r="E37" s="27" t="s">
        <v>572</v>
      </c>
      <c r="F37" s="691">
        <v>2</v>
      </c>
      <c r="G37" s="447" t="s">
        <v>572</v>
      </c>
      <c r="H37" s="34"/>
      <c r="K37" s="94"/>
      <c r="N37" s="8" t="s">
        <v>250</v>
      </c>
    </row>
    <row r="38" spans="2:21" ht="15.95" customHeight="1" thickBot="1" x14ac:dyDescent="0.2">
      <c r="B38" s="55" t="s">
        <v>570</v>
      </c>
      <c r="C38" s="4" t="s">
        <v>44</v>
      </c>
      <c r="D38" s="130">
        <f>IF($J$19=1, O26,Q19)</f>
        <v>2</v>
      </c>
      <c r="E38" s="27" t="s">
        <v>572</v>
      </c>
      <c r="F38" s="136">
        <f>F37</f>
        <v>2</v>
      </c>
      <c r="G38" s="447" t="s">
        <v>572</v>
      </c>
      <c r="K38" s="94"/>
      <c r="L38" s="65"/>
      <c r="M38" s="65"/>
      <c r="N38" s="8" t="s">
        <v>564</v>
      </c>
      <c r="S38" s="53"/>
      <c r="T38" s="54"/>
    </row>
    <row r="39" spans="2:21" ht="15.95" customHeight="1" x14ac:dyDescent="0.15">
      <c r="B39" s="55" t="s">
        <v>237</v>
      </c>
      <c r="C39" s="4" t="s">
        <v>44</v>
      </c>
      <c r="D39" s="130">
        <f>IF($J$19=1, O27,Q19)</f>
        <v>2</v>
      </c>
      <c r="E39" s="27" t="s">
        <v>572</v>
      </c>
      <c r="F39" s="135" t="s">
        <v>65</v>
      </c>
      <c r="G39" s="447" t="s">
        <v>572</v>
      </c>
      <c r="K39" s="70"/>
      <c r="L39" s="65"/>
      <c r="M39" s="65"/>
      <c r="N39" s="68" t="s">
        <v>238</v>
      </c>
      <c r="O39" s="126">
        <f t="shared" ref="O39:O44" si="0">IF($J$19=1, O30,R30)</f>
        <v>1671313.4310645724</v>
      </c>
      <c r="P39" s="69" t="s">
        <v>573</v>
      </c>
      <c r="Q39" s="56" t="s">
        <v>396</v>
      </c>
      <c r="R39" s="126">
        <f>IF($J$19=1, O29,R22-R26*2)</f>
        <v>56</v>
      </c>
      <c r="S39" s="69" t="s">
        <v>572</v>
      </c>
      <c r="T39" s="28"/>
      <c r="U39" s="28"/>
    </row>
    <row r="40" spans="2:21" ht="15.95" customHeight="1" x14ac:dyDescent="0.15">
      <c r="B40" s="55" t="s">
        <v>407</v>
      </c>
      <c r="C40" s="4" t="s">
        <v>44</v>
      </c>
      <c r="D40" s="142">
        <f t="shared" ref="D40:D45" si="1">O39</f>
        <v>1671313.4310645724</v>
      </c>
      <c r="E40" s="27" t="s">
        <v>573</v>
      </c>
      <c r="F40" s="144">
        <f>(F34*F33^3-(F34-2*F37)*(F33-2*F38)^3)/12</f>
        <v>775178.66666666663</v>
      </c>
      <c r="G40" s="447" t="s">
        <v>573</v>
      </c>
      <c r="H40" s="416" t="s">
        <v>590</v>
      </c>
      <c r="I40" s="4" t="s">
        <v>44</v>
      </c>
      <c r="J40" s="142">
        <f>D40+F40*3</f>
        <v>3996849.4310645722</v>
      </c>
      <c r="K40" s="70" t="s">
        <v>573</v>
      </c>
      <c r="L40" s="65"/>
      <c r="M40" s="65"/>
      <c r="N40" s="55" t="s">
        <v>239</v>
      </c>
      <c r="O40" s="7">
        <f t="shared" si="0"/>
        <v>462398.66666666663</v>
      </c>
      <c r="P40" s="27" t="s">
        <v>573</v>
      </c>
      <c r="Q40" s="57" t="s">
        <v>397</v>
      </c>
      <c r="R40" s="7">
        <f>IF($J$19=1, O23-2*O25,R23-R25*2)</f>
        <v>116</v>
      </c>
      <c r="S40" s="70" t="s">
        <v>572</v>
      </c>
      <c r="U40" s="28"/>
    </row>
    <row r="41" spans="2:21" ht="15.95" customHeight="1" x14ac:dyDescent="0.15">
      <c r="B41" s="55" t="s">
        <v>408</v>
      </c>
      <c r="C41" s="4" t="s">
        <v>44</v>
      </c>
      <c r="D41" s="142">
        <f t="shared" si="1"/>
        <v>462398.66666666663</v>
      </c>
      <c r="E41" s="27" t="s">
        <v>573</v>
      </c>
      <c r="F41" s="144">
        <f>(F33*F34^3-(F33-2*F38)*(F34-2*F37)^3)/12</f>
        <v>262978.66666666669</v>
      </c>
      <c r="G41" s="447" t="s">
        <v>573</v>
      </c>
      <c r="H41" s="416" t="s">
        <v>591</v>
      </c>
      <c r="I41" s="4" t="s">
        <v>44</v>
      </c>
      <c r="J41" s="142">
        <f>D41+F41*3</f>
        <v>1251334.6666666665</v>
      </c>
      <c r="K41" s="70" t="s">
        <v>573</v>
      </c>
      <c r="L41" s="65"/>
      <c r="M41" s="65"/>
      <c r="N41" s="55" t="s">
        <v>1092</v>
      </c>
      <c r="O41" s="7">
        <f t="shared" si="0"/>
        <v>30</v>
      </c>
      <c r="P41" s="27" t="s">
        <v>562</v>
      </c>
      <c r="Q41" s="57" t="s">
        <v>398</v>
      </c>
      <c r="R41" s="7">
        <f>IF($J$19=1, O25,R25)</f>
        <v>2</v>
      </c>
      <c r="S41" s="70" t="s">
        <v>572</v>
      </c>
      <c r="T41" s="74"/>
      <c r="U41" s="28"/>
    </row>
    <row r="42" spans="2:21" ht="15.95" customHeight="1" x14ac:dyDescent="0.15">
      <c r="B42" s="55" t="s">
        <v>1092</v>
      </c>
      <c r="C42" s="4" t="s">
        <v>44</v>
      </c>
      <c r="D42" s="148">
        <f t="shared" si="1"/>
        <v>30</v>
      </c>
      <c r="E42" s="27" t="s">
        <v>562</v>
      </c>
      <c r="F42" s="154">
        <f>F34/2</f>
        <v>25</v>
      </c>
      <c r="G42" s="447" t="s">
        <v>562</v>
      </c>
      <c r="K42" s="94"/>
      <c r="L42" s="65"/>
      <c r="M42" s="65"/>
      <c r="N42" s="55" t="s">
        <v>1093</v>
      </c>
      <c r="O42" s="7">
        <f t="shared" si="0"/>
        <v>84.109947643979055</v>
      </c>
      <c r="P42" s="27" t="s">
        <v>562</v>
      </c>
      <c r="Q42" s="57" t="s">
        <v>399</v>
      </c>
      <c r="R42" s="133">
        <f>IF($J$19=1, O26,R26)</f>
        <v>2</v>
      </c>
      <c r="S42" s="70" t="s">
        <v>572</v>
      </c>
      <c r="T42" s="74"/>
      <c r="U42" s="28"/>
    </row>
    <row r="43" spans="2:21" ht="15.95" customHeight="1" x14ac:dyDescent="0.15">
      <c r="B43" s="55" t="s">
        <v>1093</v>
      </c>
      <c r="C43" s="4" t="s">
        <v>4</v>
      </c>
      <c r="D43" s="148">
        <f t="shared" si="1"/>
        <v>84.109947643979055</v>
      </c>
      <c r="E43" s="27" t="s">
        <v>562</v>
      </c>
      <c r="F43" s="154">
        <f>F33/2</f>
        <v>50</v>
      </c>
      <c r="G43" s="447" t="s">
        <v>562</v>
      </c>
      <c r="H43" s="416" t="s">
        <v>455</v>
      </c>
      <c r="I43" s="4" t="s">
        <v>145</v>
      </c>
      <c r="J43" s="92">
        <f>D40/J40</f>
        <v>0.41815771644402761</v>
      </c>
      <c r="K43" s="94"/>
      <c r="L43" s="65"/>
      <c r="M43" s="65"/>
      <c r="N43" s="55" t="s">
        <v>240</v>
      </c>
      <c r="O43" s="7">
        <f t="shared" si="0"/>
        <v>19870.579852681814</v>
      </c>
      <c r="P43" s="27" t="s">
        <v>574</v>
      </c>
      <c r="Q43" s="75"/>
      <c r="R43" s="65"/>
      <c r="S43" s="76"/>
      <c r="T43" s="74"/>
      <c r="U43" s="28"/>
    </row>
    <row r="44" spans="2:21" ht="15.95" customHeight="1" thickBot="1" x14ac:dyDescent="0.2">
      <c r="B44" s="55" t="s">
        <v>406</v>
      </c>
      <c r="C44" s="4" t="s">
        <v>44</v>
      </c>
      <c r="D44" s="142">
        <f t="shared" si="1"/>
        <v>19870.579852681814</v>
      </c>
      <c r="E44" s="27" t="s">
        <v>574</v>
      </c>
      <c r="F44" s="145">
        <f>F40/F43</f>
        <v>15503.573333333332</v>
      </c>
      <c r="G44" s="141" t="s">
        <v>574</v>
      </c>
      <c r="H44" s="446" t="s">
        <v>456</v>
      </c>
      <c r="I44" s="17" t="s">
        <v>145</v>
      </c>
      <c r="J44" s="692">
        <f>1-J43</f>
        <v>0.58184228355597245</v>
      </c>
      <c r="K44" s="124"/>
      <c r="L44" s="65"/>
      <c r="M44" s="65"/>
      <c r="N44" s="71" t="s">
        <v>395</v>
      </c>
      <c r="O44" s="127">
        <f t="shared" si="0"/>
        <v>1064553.0909090908</v>
      </c>
      <c r="P44" s="128" t="s">
        <v>574</v>
      </c>
      <c r="Q44" s="78"/>
      <c r="R44" s="77"/>
      <c r="S44" s="79"/>
      <c r="T44" s="74"/>
      <c r="U44" s="28"/>
    </row>
    <row r="45" spans="2:21" ht="15.95" customHeight="1" thickBot="1" x14ac:dyDescent="0.2">
      <c r="B45" s="71" t="s">
        <v>395</v>
      </c>
      <c r="C45" s="17" t="s">
        <v>44</v>
      </c>
      <c r="D45" s="143">
        <f t="shared" si="1"/>
        <v>1064553.0909090908</v>
      </c>
      <c r="E45" s="72" t="s">
        <v>574</v>
      </c>
      <c r="F45" s="73"/>
      <c r="G45" s="65"/>
      <c r="H45" s="65"/>
      <c r="K45" s="65"/>
      <c r="L45" s="65"/>
      <c r="M45" s="65"/>
    </row>
    <row r="46" spans="2:21" ht="15.75" customHeight="1" x14ac:dyDescent="0.15">
      <c r="B46" s="796" t="s">
        <v>1217</v>
      </c>
      <c r="C46" s="796"/>
      <c r="D46" s="796"/>
      <c r="E46" s="796"/>
      <c r="F46" s="796"/>
      <c r="G46" s="796"/>
      <c r="H46" s="796"/>
      <c r="I46" s="796"/>
      <c r="J46" s="796"/>
      <c r="K46" s="796"/>
      <c r="L46" s="65"/>
      <c r="M46" s="65"/>
    </row>
    <row r="47" spans="2:21" ht="15.95" hidden="1" customHeight="1" x14ac:dyDescent="0.15">
      <c r="B47" s="61" t="s">
        <v>128</v>
      </c>
    </row>
    <row r="48" spans="2:21" ht="15.95" hidden="1" customHeight="1" x14ac:dyDescent="0.15"/>
    <row r="49" spans="1:8" ht="15.95" hidden="1" customHeight="1" x14ac:dyDescent="0.15">
      <c r="B49" s="27" t="s">
        <v>245</v>
      </c>
    </row>
    <row r="50" spans="1:8" ht="15.95" hidden="1" customHeight="1" x14ac:dyDescent="0.15">
      <c r="A50" s="33"/>
    </row>
    <row r="51" spans="1:8" ht="15.95" hidden="1" customHeight="1" x14ac:dyDescent="0.15">
      <c r="A51" s="33"/>
    </row>
    <row r="52" spans="1:8" ht="15.95" hidden="1" customHeight="1" x14ac:dyDescent="0.15">
      <c r="A52" s="33"/>
    </row>
    <row r="53" spans="1:8" ht="15.95" hidden="1" customHeight="1" x14ac:dyDescent="0.15">
      <c r="A53" s="33"/>
    </row>
    <row r="54" spans="1:8" ht="15.95" hidden="1" customHeight="1" x14ac:dyDescent="0.15">
      <c r="A54" s="33"/>
    </row>
    <row r="55" spans="1:8" ht="15.95" hidden="1" customHeight="1" x14ac:dyDescent="0.15">
      <c r="A55" s="33"/>
    </row>
    <row r="56" spans="1:8" ht="15.95" hidden="1" customHeight="1" x14ac:dyDescent="0.15">
      <c r="A56" s="33"/>
    </row>
    <row r="57" spans="1:8" ht="15.95" hidden="1" customHeight="1" x14ac:dyDescent="0.15">
      <c r="A57" s="33"/>
    </row>
    <row r="58" spans="1:8" ht="15.95" hidden="1" customHeight="1" x14ac:dyDescent="0.15">
      <c r="A58" s="33"/>
    </row>
    <row r="59" spans="1:8" ht="15.95" hidden="1" customHeight="1" x14ac:dyDescent="0.15"/>
    <row r="60" spans="1:8" ht="15.95" hidden="1" customHeight="1" x14ac:dyDescent="0.15">
      <c r="B60" s="8" t="s">
        <v>135</v>
      </c>
    </row>
    <row r="61" spans="1:8" ht="15.95" hidden="1" customHeight="1" x14ac:dyDescent="0.15"/>
    <row r="62" spans="1:8" ht="15.95" hidden="1" customHeight="1" x14ac:dyDescent="0.15">
      <c r="B62" s="20" t="s">
        <v>129</v>
      </c>
      <c r="C62" s="4" t="s">
        <v>44</v>
      </c>
      <c r="D62" s="20" t="s">
        <v>132</v>
      </c>
      <c r="E62" s="52"/>
      <c r="F62" s="27"/>
      <c r="G62" s="4" t="s">
        <v>145</v>
      </c>
      <c r="H62" s="20" t="s">
        <v>146</v>
      </c>
    </row>
    <row r="63" spans="1:8" ht="15.95" hidden="1" customHeight="1" x14ac:dyDescent="0.15">
      <c r="B63" s="20" t="s">
        <v>130</v>
      </c>
      <c r="C63" s="4" t="s">
        <v>44</v>
      </c>
      <c r="D63" s="20" t="s">
        <v>133</v>
      </c>
      <c r="E63" s="52"/>
      <c r="F63" s="27"/>
      <c r="G63" s="4"/>
      <c r="H63" s="20"/>
    </row>
    <row r="64" spans="1:8" ht="15.95" hidden="1" customHeight="1" x14ac:dyDescent="0.15">
      <c r="B64" s="20" t="s">
        <v>131</v>
      </c>
      <c r="C64" s="4" t="s">
        <v>44</v>
      </c>
      <c r="D64" s="20" t="s">
        <v>134</v>
      </c>
      <c r="E64" s="52"/>
      <c r="F64" s="27"/>
      <c r="G64" s="4" t="s">
        <v>145</v>
      </c>
      <c r="H64" s="20" t="s">
        <v>147</v>
      </c>
    </row>
    <row r="65" spans="1:14" ht="15.95" hidden="1" customHeight="1" x14ac:dyDescent="0.15">
      <c r="B65" s="20" t="s">
        <v>109</v>
      </c>
      <c r="C65" s="4" t="s">
        <v>44</v>
      </c>
      <c r="D65" s="20" t="s">
        <v>252</v>
      </c>
      <c r="E65" s="52"/>
      <c r="F65" s="27"/>
      <c r="G65" s="4"/>
      <c r="H65" s="20"/>
    </row>
    <row r="66" spans="1:14" ht="15.95" hidden="1" customHeight="1" x14ac:dyDescent="0.15">
      <c r="B66" s="62" t="s">
        <v>165</v>
      </c>
      <c r="C66" s="4" t="s">
        <v>44</v>
      </c>
      <c r="D66" s="20" t="s">
        <v>234</v>
      </c>
      <c r="E66" s="22"/>
      <c r="F66" s="27"/>
      <c r="G66" s="4"/>
      <c r="H66" s="20" t="s">
        <v>148</v>
      </c>
    </row>
    <row r="67" spans="1:14" ht="15.95" hidden="1" customHeight="1" x14ac:dyDescent="0.15"/>
    <row r="68" spans="1:14" ht="15.95" hidden="1" customHeight="1" x14ac:dyDescent="0.15"/>
    <row r="69" spans="1:14" ht="15.95" hidden="1" customHeight="1" x14ac:dyDescent="0.15">
      <c r="A69" s="33"/>
      <c r="B69" s="8" t="s">
        <v>136</v>
      </c>
    </row>
    <row r="70" spans="1:14" ht="15.95" hidden="1" customHeight="1" x14ac:dyDescent="0.15"/>
    <row r="71" spans="1:14" ht="15.95" hidden="1" customHeight="1" x14ac:dyDescent="0.15">
      <c r="B71" s="62" t="s">
        <v>137</v>
      </c>
      <c r="C71" s="4" t="s">
        <v>44</v>
      </c>
      <c r="D71" s="147">
        <f>D11</f>
        <v>4750</v>
      </c>
      <c r="E71" s="27" t="s">
        <v>562</v>
      </c>
      <c r="G71" s="4" t="s">
        <v>145</v>
      </c>
      <c r="H71" s="20" t="s">
        <v>446</v>
      </c>
      <c r="N71" s="20"/>
    </row>
    <row r="72" spans="1:14" ht="15.95" hidden="1" customHeight="1" x14ac:dyDescent="0.15">
      <c r="B72" s="62" t="s">
        <v>52</v>
      </c>
      <c r="C72" s="4" t="s">
        <v>44</v>
      </c>
      <c r="D72" s="147">
        <f>D10</f>
        <v>250</v>
      </c>
      <c r="E72" s="27" t="s">
        <v>562</v>
      </c>
      <c r="G72" s="4" t="s">
        <v>145</v>
      </c>
      <c r="H72" s="20" t="s">
        <v>447</v>
      </c>
      <c r="N72" s="20"/>
    </row>
    <row r="73" spans="1:14" ht="15.95" hidden="1" customHeight="1" x14ac:dyDescent="0.15">
      <c r="B73" s="62" t="s">
        <v>156</v>
      </c>
      <c r="C73" s="4" t="s">
        <v>44</v>
      </c>
      <c r="D73" s="147">
        <f>(D71^2-D72^2)/(2*D71)</f>
        <v>2368.4210526315787</v>
      </c>
      <c r="E73" s="27" t="s">
        <v>562</v>
      </c>
      <c r="G73" s="4" t="s">
        <v>145</v>
      </c>
      <c r="H73" s="20" t="s">
        <v>171</v>
      </c>
      <c r="J73" s="22"/>
      <c r="K73" s="4"/>
      <c r="L73" s="63"/>
      <c r="M73" s="33"/>
      <c r="N73" s="20"/>
    </row>
    <row r="74" spans="1:14" ht="15.95" hidden="1" customHeight="1" x14ac:dyDescent="0.15">
      <c r="B74" s="62" t="s">
        <v>138</v>
      </c>
      <c r="C74" s="4" t="s">
        <v>44</v>
      </c>
      <c r="D74" s="80">
        <f>ABS(D5/1000*(D7+D8)/2)</f>
        <v>0</v>
      </c>
      <c r="E74" s="8" t="s">
        <v>581</v>
      </c>
      <c r="G74" s="4" t="s">
        <v>145</v>
      </c>
      <c r="H74" s="20" t="s">
        <v>142</v>
      </c>
    </row>
    <row r="75" spans="1:14" ht="15.95" hidden="1" customHeight="1" x14ac:dyDescent="0.15">
      <c r="B75" s="62" t="s">
        <v>139</v>
      </c>
      <c r="C75" s="4" t="s">
        <v>44</v>
      </c>
      <c r="D75" s="147">
        <f>D6</f>
        <v>69637.021649999995</v>
      </c>
      <c r="E75" s="27" t="s">
        <v>561</v>
      </c>
      <c r="G75" s="4" t="s">
        <v>145</v>
      </c>
      <c r="H75" s="20" t="s">
        <v>140</v>
      </c>
    </row>
    <row r="76" spans="1:14" ht="15.95" hidden="1" customHeight="1" x14ac:dyDescent="0.15">
      <c r="B76" s="6" t="s">
        <v>453</v>
      </c>
      <c r="C76" s="4" t="s">
        <v>44</v>
      </c>
      <c r="D76" s="147">
        <f>J40</f>
        <v>3996849.4310645722</v>
      </c>
      <c r="E76" s="8" t="s">
        <v>579</v>
      </c>
      <c r="G76" s="4" t="s">
        <v>145</v>
      </c>
      <c r="H76" s="20" t="s">
        <v>454</v>
      </c>
    </row>
    <row r="77" spans="1:14" ht="15.95" hidden="1" customHeight="1" x14ac:dyDescent="0.15">
      <c r="F77" s="8" t="s">
        <v>0</v>
      </c>
    </row>
    <row r="78" spans="1:14" ht="15.95" hidden="1" customHeight="1" x14ac:dyDescent="0.15"/>
    <row r="79" spans="1:14" ht="15.95" hidden="1" customHeight="1" x14ac:dyDescent="0.15">
      <c r="A79" s="19"/>
      <c r="B79" s="8" t="s">
        <v>149</v>
      </c>
    </row>
    <row r="80" spans="1:14" ht="15.95" hidden="1" customHeight="1" x14ac:dyDescent="0.15"/>
    <row r="81" spans="1:11" ht="15.95" hidden="1" customHeight="1" x14ac:dyDescent="0.15">
      <c r="A81" s="8" t="s">
        <v>285</v>
      </c>
      <c r="B81" s="62" t="s">
        <v>150</v>
      </c>
      <c r="C81" s="4" t="s">
        <v>44</v>
      </c>
      <c r="D81" s="20" t="s">
        <v>157</v>
      </c>
      <c r="H81" s="62" t="s">
        <v>130</v>
      </c>
      <c r="I81" s="4" t="s">
        <v>44</v>
      </c>
      <c r="J81" s="81" t="s">
        <v>158</v>
      </c>
    </row>
    <row r="82" spans="1:11" ht="15.95" hidden="1" customHeight="1" x14ac:dyDescent="0.15">
      <c r="B82" s="62"/>
      <c r="C82" s="4" t="s">
        <v>44</v>
      </c>
      <c r="D82" s="147">
        <f>D74*(D71^2-D72^2)/(2*D71)</f>
        <v>0</v>
      </c>
      <c r="E82" s="8" t="s">
        <v>580</v>
      </c>
      <c r="H82" s="62"/>
      <c r="I82" s="4" t="s">
        <v>44</v>
      </c>
      <c r="J82" s="147">
        <f>D74*(D71+D72)^2/(2*D71)</f>
        <v>0</v>
      </c>
      <c r="K82" s="8" t="s">
        <v>580</v>
      </c>
    </row>
    <row r="83" spans="1:11" ht="15.95" hidden="1" customHeight="1" x14ac:dyDescent="0.15"/>
    <row r="84" spans="1:11" ht="15.95" hidden="1" customHeight="1" x14ac:dyDescent="0.15">
      <c r="B84" s="62" t="s">
        <v>151</v>
      </c>
      <c r="C84" s="4" t="s">
        <v>44</v>
      </c>
      <c r="D84" s="81" t="s">
        <v>155</v>
      </c>
      <c r="H84" s="62" t="s">
        <v>152</v>
      </c>
      <c r="I84" s="4" t="s">
        <v>44</v>
      </c>
      <c r="J84" s="81" t="s">
        <v>159</v>
      </c>
    </row>
    <row r="85" spans="1:11" ht="15.95" hidden="1" customHeight="1" x14ac:dyDescent="0.15">
      <c r="B85" s="62"/>
      <c r="C85" s="4" t="s">
        <v>4</v>
      </c>
      <c r="D85" s="147">
        <f>(D74*D72^2/2)</f>
        <v>0</v>
      </c>
      <c r="E85" s="27" t="s">
        <v>602</v>
      </c>
      <c r="H85" s="62"/>
      <c r="I85" s="4" t="s">
        <v>4</v>
      </c>
      <c r="J85" s="147">
        <f>((D82*D73)-(D74*D73^2/2))</f>
        <v>0</v>
      </c>
      <c r="K85" s="27" t="s">
        <v>602</v>
      </c>
    </row>
    <row r="86" spans="1:11" ht="15.95" hidden="1" customHeight="1" x14ac:dyDescent="0.15"/>
    <row r="87" spans="1:11" ht="15.95" hidden="1" customHeight="1" x14ac:dyDescent="0.15">
      <c r="B87" s="62" t="s">
        <v>153</v>
      </c>
      <c r="C87" s="4" t="s">
        <v>44</v>
      </c>
      <c r="D87" s="81" t="s">
        <v>160</v>
      </c>
    </row>
    <row r="88" spans="1:11" ht="15.95" hidden="1" customHeight="1" x14ac:dyDescent="0.15">
      <c r="B88" s="62"/>
      <c r="C88" s="4" t="s">
        <v>44</v>
      </c>
      <c r="D88" s="63">
        <f>(D74*D72^4/(8*D75*D76))+((D74*D71*D72*(4*D72^2-D71^2))/(24*D75*D76))</f>
        <v>0</v>
      </c>
      <c r="E88" s="27" t="s">
        <v>562</v>
      </c>
    </row>
    <row r="89" spans="1:11" ht="15.95" hidden="1" customHeight="1" x14ac:dyDescent="0.15"/>
    <row r="90" spans="1:11" ht="15.95" hidden="1" customHeight="1" x14ac:dyDescent="0.15">
      <c r="B90" s="62" t="s">
        <v>154</v>
      </c>
      <c r="C90" s="4" t="s">
        <v>44</v>
      </c>
      <c r="D90" s="81" t="s">
        <v>161</v>
      </c>
    </row>
    <row r="91" spans="1:11" ht="15.95" hidden="1" customHeight="1" x14ac:dyDescent="0.15">
      <c r="B91" s="52"/>
      <c r="C91" s="4" t="s">
        <v>44</v>
      </c>
      <c r="D91" s="63">
        <f>(5*D74*D71^4/(384*D75*D76))-(D85*D71^2/(16*D75*D76))</f>
        <v>0</v>
      </c>
      <c r="E91" s="27" t="s">
        <v>562</v>
      </c>
    </row>
    <row r="92" spans="1:11" ht="15.95" hidden="1" customHeight="1" x14ac:dyDescent="0.15"/>
    <row r="93" spans="1:11" ht="15.95" hidden="1" customHeight="1" x14ac:dyDescent="0.15">
      <c r="B93" s="27" t="s">
        <v>246</v>
      </c>
    </row>
    <row r="94" spans="1:11" ht="15.95" hidden="1" customHeight="1" x14ac:dyDescent="0.15">
      <c r="A94" s="33"/>
    </row>
    <row r="95" spans="1:11" ht="15.95" hidden="1" customHeight="1" x14ac:dyDescent="0.15">
      <c r="A95" s="33"/>
    </row>
    <row r="96" spans="1:11" ht="15.95" hidden="1" customHeight="1" x14ac:dyDescent="0.15">
      <c r="A96" s="33"/>
    </row>
    <row r="97" spans="1:8" ht="15.95" hidden="1" customHeight="1" x14ac:dyDescent="0.15">
      <c r="A97" s="33"/>
    </row>
    <row r="98" spans="1:8" ht="15.95" hidden="1" customHeight="1" x14ac:dyDescent="0.15">
      <c r="A98" s="33"/>
    </row>
    <row r="99" spans="1:8" ht="15.95" hidden="1" customHeight="1" x14ac:dyDescent="0.15">
      <c r="A99" s="33"/>
    </row>
    <row r="100" spans="1:8" ht="15.95" hidden="1" customHeight="1" x14ac:dyDescent="0.15">
      <c r="A100" s="33"/>
    </row>
    <row r="101" spans="1:8" ht="15.95" hidden="1" customHeight="1" x14ac:dyDescent="0.15">
      <c r="A101" s="33"/>
    </row>
    <row r="102" spans="1:8" ht="15.95" hidden="1" customHeight="1" x14ac:dyDescent="0.15">
      <c r="A102" s="33"/>
    </row>
    <row r="103" spans="1:8" ht="15.95" hidden="1" customHeight="1" x14ac:dyDescent="0.15">
      <c r="A103" s="33"/>
    </row>
    <row r="104" spans="1:8" ht="15.95" hidden="1" customHeight="1" x14ac:dyDescent="0.15"/>
    <row r="105" spans="1:8" ht="15.95" hidden="1" customHeight="1" x14ac:dyDescent="0.15">
      <c r="B105" s="8" t="s">
        <v>135</v>
      </c>
    </row>
    <row r="106" spans="1:8" ht="15.95" hidden="1" customHeight="1" x14ac:dyDescent="0.15"/>
    <row r="107" spans="1:8" ht="15.95" hidden="1" customHeight="1" x14ac:dyDescent="0.15">
      <c r="B107" s="62" t="s">
        <v>150</v>
      </c>
      <c r="C107" s="4" t="s">
        <v>44</v>
      </c>
      <c r="D107" s="20" t="s">
        <v>297</v>
      </c>
      <c r="E107" s="52"/>
      <c r="G107" s="4" t="s">
        <v>145</v>
      </c>
      <c r="H107" s="82" t="s">
        <v>146</v>
      </c>
    </row>
    <row r="108" spans="1:8" ht="15.95" hidden="1" customHeight="1" x14ac:dyDescent="0.15">
      <c r="B108" s="62" t="s">
        <v>130</v>
      </c>
      <c r="C108" s="4" t="s">
        <v>44</v>
      </c>
      <c r="D108" s="83" t="s">
        <v>298</v>
      </c>
    </row>
    <row r="109" spans="1:8" ht="15.95" hidden="1" customHeight="1" x14ac:dyDescent="0.15"/>
    <row r="110" spans="1:8" ht="15.95" hidden="1" customHeight="1" x14ac:dyDescent="0.15"/>
    <row r="111" spans="1:8" ht="15.95" hidden="1" customHeight="1" x14ac:dyDescent="0.15">
      <c r="A111" s="33"/>
      <c r="B111" s="8" t="s">
        <v>136</v>
      </c>
    </row>
    <row r="112" spans="1:8" ht="15.95" hidden="1" customHeight="1" x14ac:dyDescent="0.15"/>
    <row r="113" spans="1:8" ht="15.95" hidden="1" customHeight="1" x14ac:dyDescent="0.15">
      <c r="B113" s="82" t="s">
        <v>137</v>
      </c>
      <c r="C113" s="4" t="s">
        <v>44</v>
      </c>
      <c r="D113" s="147">
        <f>D11</f>
        <v>4750</v>
      </c>
      <c r="E113" s="27" t="s">
        <v>562</v>
      </c>
      <c r="G113" s="4" t="s">
        <v>145</v>
      </c>
      <c r="H113" s="20" t="s">
        <v>143</v>
      </c>
    </row>
    <row r="114" spans="1:8" ht="15.95" hidden="1" customHeight="1" x14ac:dyDescent="0.15">
      <c r="B114" s="20" t="s">
        <v>52</v>
      </c>
      <c r="C114" s="4" t="s">
        <v>44</v>
      </c>
      <c r="D114" s="149">
        <f>D10</f>
        <v>250</v>
      </c>
      <c r="E114" s="27" t="s">
        <v>562</v>
      </c>
      <c r="G114" s="4" t="s">
        <v>145</v>
      </c>
      <c r="H114" s="20" t="s">
        <v>144</v>
      </c>
    </row>
    <row r="115" spans="1:8" ht="15.95" hidden="1" customHeight="1" x14ac:dyDescent="0.15">
      <c r="B115" s="84" t="s">
        <v>162</v>
      </c>
      <c r="C115" s="4" t="s">
        <v>44</v>
      </c>
      <c r="D115" s="147">
        <f>D82</f>
        <v>0</v>
      </c>
      <c r="E115" s="8" t="s">
        <v>580</v>
      </c>
      <c r="G115" s="4" t="s">
        <v>145</v>
      </c>
      <c r="H115" s="20" t="s">
        <v>163</v>
      </c>
    </row>
    <row r="116" spans="1:8" ht="15.95" hidden="1" customHeight="1" x14ac:dyDescent="0.15">
      <c r="F116" s="8" t="s">
        <v>0</v>
      </c>
    </row>
    <row r="117" spans="1:8" ht="15.95" hidden="1" customHeight="1" x14ac:dyDescent="0.15"/>
    <row r="118" spans="1:8" ht="15.95" hidden="1" customHeight="1" x14ac:dyDescent="0.15">
      <c r="A118" s="19"/>
      <c r="B118" s="8" t="s">
        <v>149</v>
      </c>
    </row>
    <row r="119" spans="1:8" ht="15.95" hidden="1" customHeight="1" x14ac:dyDescent="0.15"/>
    <row r="120" spans="1:8" ht="15.95" hidden="1" customHeight="1" x14ac:dyDescent="0.15">
      <c r="A120" s="8" t="s">
        <v>285</v>
      </c>
      <c r="B120" s="62" t="s">
        <v>150</v>
      </c>
      <c r="C120" s="4" t="s">
        <v>44</v>
      </c>
      <c r="D120" s="20" t="s">
        <v>299</v>
      </c>
    </row>
    <row r="121" spans="1:8" ht="15.95" hidden="1" customHeight="1" x14ac:dyDescent="0.15">
      <c r="B121" s="33"/>
      <c r="C121" s="4" t="s">
        <v>44</v>
      </c>
      <c r="D121" s="147">
        <f>D115*D114/D113</f>
        <v>0</v>
      </c>
      <c r="E121" s="8" t="s">
        <v>580</v>
      </c>
    </row>
    <row r="122" spans="1:8" ht="15.95" hidden="1" customHeight="1" x14ac:dyDescent="0.15">
      <c r="B122" s="62" t="s">
        <v>130</v>
      </c>
      <c r="C122" s="4" t="s">
        <v>44</v>
      </c>
      <c r="D122" s="83" t="s">
        <v>298</v>
      </c>
    </row>
    <row r="123" spans="1:8" ht="15.95" hidden="1" customHeight="1" x14ac:dyDescent="0.15">
      <c r="B123" s="33"/>
      <c r="C123" s="4" t="s">
        <v>44</v>
      </c>
      <c r="D123" s="147">
        <f>(D114+D113)/D113*D115</f>
        <v>0</v>
      </c>
      <c r="E123" s="8" t="s">
        <v>580</v>
      </c>
    </row>
    <row r="124" spans="1:8" ht="15.95" hidden="1" customHeight="1" x14ac:dyDescent="0.15">
      <c r="B124" s="33"/>
      <c r="C124" s="4"/>
      <c r="D124" s="63"/>
    </row>
    <row r="125" spans="1:8" ht="15.95" hidden="1" customHeight="1" x14ac:dyDescent="0.15">
      <c r="B125" s="33"/>
      <c r="C125" s="4"/>
      <c r="D125" s="63"/>
    </row>
    <row r="126" spans="1:8" ht="15.95" hidden="1" customHeight="1" x14ac:dyDescent="0.15">
      <c r="B126" s="33"/>
      <c r="C126" s="4"/>
      <c r="D126" s="63"/>
    </row>
    <row r="127" spans="1:8" ht="15.95" hidden="1" customHeight="1" x14ac:dyDescent="0.15">
      <c r="B127" s="33"/>
      <c r="C127" s="4"/>
      <c r="D127" s="63"/>
    </row>
    <row r="128" spans="1:8" ht="15.95" hidden="1" customHeight="1" x14ac:dyDescent="0.15">
      <c r="B128" s="33"/>
      <c r="C128" s="4"/>
      <c r="D128" s="63"/>
    </row>
    <row r="129" spans="1:4" ht="15.95" hidden="1" customHeight="1" x14ac:dyDescent="0.15">
      <c r="B129" s="33"/>
      <c r="C129" s="4"/>
      <c r="D129" s="63"/>
    </row>
    <row r="130" spans="1:4" ht="15.95" hidden="1" customHeight="1" x14ac:dyDescent="0.15">
      <c r="B130" s="33"/>
      <c r="C130" s="4"/>
      <c r="D130" s="63"/>
    </row>
    <row r="131" spans="1:4" ht="15.95" hidden="1" customHeight="1" x14ac:dyDescent="0.15">
      <c r="B131" s="33"/>
      <c r="C131" s="4"/>
      <c r="D131" s="63"/>
    </row>
    <row r="132" spans="1:4" ht="15.95" hidden="1" customHeight="1" x14ac:dyDescent="0.15">
      <c r="B132" s="33"/>
      <c r="C132" s="4"/>
      <c r="D132" s="63"/>
    </row>
    <row r="133" spans="1:4" ht="15.95" hidden="1" customHeight="1" x14ac:dyDescent="0.15">
      <c r="B133" s="33"/>
      <c r="C133" s="4"/>
      <c r="D133" s="63"/>
    </row>
    <row r="134" spans="1:4" ht="15.95" hidden="1" customHeight="1" x14ac:dyDescent="0.15">
      <c r="B134" s="33"/>
      <c r="C134" s="4"/>
      <c r="D134" s="63"/>
    </row>
    <row r="135" spans="1:4" ht="15.95" hidden="1" customHeight="1" x14ac:dyDescent="0.15">
      <c r="B135" s="33"/>
      <c r="C135" s="4"/>
      <c r="D135" s="63"/>
    </row>
    <row r="136" spans="1:4" ht="15.95" hidden="1" customHeight="1" x14ac:dyDescent="0.15">
      <c r="B136" s="33"/>
      <c r="C136" s="4"/>
      <c r="D136" s="63"/>
    </row>
    <row r="137" spans="1:4" ht="15.95" hidden="1" customHeight="1" x14ac:dyDescent="0.15">
      <c r="B137" s="33"/>
      <c r="C137" s="4"/>
      <c r="D137" s="63"/>
    </row>
    <row r="138" spans="1:4" ht="15.95" hidden="1" customHeight="1" x14ac:dyDescent="0.15">
      <c r="B138" s="33"/>
      <c r="C138" s="4"/>
      <c r="D138" s="63"/>
    </row>
    <row r="139" spans="1:4" ht="15.95" hidden="1" customHeight="1" x14ac:dyDescent="0.15">
      <c r="B139" s="27" t="s">
        <v>247</v>
      </c>
    </row>
    <row r="140" spans="1:4" ht="15.95" hidden="1" customHeight="1" x14ac:dyDescent="0.15">
      <c r="A140" s="33"/>
    </row>
    <row r="141" spans="1:4" ht="15.95" hidden="1" customHeight="1" x14ac:dyDescent="0.15">
      <c r="A141" s="33"/>
    </row>
    <row r="142" spans="1:4" ht="15.95" hidden="1" customHeight="1" x14ac:dyDescent="0.15">
      <c r="A142" s="33"/>
    </row>
    <row r="143" spans="1:4" ht="15.95" hidden="1" customHeight="1" x14ac:dyDescent="0.15">
      <c r="A143" s="33"/>
    </row>
    <row r="144" spans="1:4" ht="15.95" hidden="1" customHeight="1" x14ac:dyDescent="0.15">
      <c r="A144" s="33"/>
    </row>
    <row r="145" spans="1:14" ht="15.95" hidden="1" customHeight="1" x14ac:dyDescent="0.15">
      <c r="A145" s="33"/>
    </row>
    <row r="146" spans="1:14" ht="15.95" hidden="1" customHeight="1" x14ac:dyDescent="0.15">
      <c r="A146" s="33"/>
    </row>
    <row r="147" spans="1:14" ht="15.95" hidden="1" customHeight="1" x14ac:dyDescent="0.15">
      <c r="A147" s="33"/>
    </row>
    <row r="148" spans="1:14" ht="15.95" hidden="1" customHeight="1" x14ac:dyDescent="0.15">
      <c r="A148" s="33"/>
    </row>
    <row r="149" spans="1:14" ht="15.95" hidden="1" customHeight="1" x14ac:dyDescent="0.15">
      <c r="A149" s="33"/>
    </row>
    <row r="150" spans="1:14" ht="15.95" hidden="1" customHeight="1" x14ac:dyDescent="0.15"/>
    <row r="151" spans="1:14" ht="15.95" hidden="1" customHeight="1" x14ac:dyDescent="0.15">
      <c r="B151" s="8" t="s">
        <v>135</v>
      </c>
    </row>
    <row r="152" spans="1:14" ht="15.95" hidden="1" customHeight="1" x14ac:dyDescent="0.15"/>
    <row r="153" spans="1:14" ht="15.95" hidden="1" customHeight="1" x14ac:dyDescent="0.15">
      <c r="B153" s="62" t="s">
        <v>150</v>
      </c>
      <c r="C153" s="4" t="s">
        <v>44</v>
      </c>
      <c r="D153" s="20" t="s">
        <v>299</v>
      </c>
      <c r="E153" s="52"/>
      <c r="G153" s="4" t="s">
        <v>145</v>
      </c>
      <c r="H153" s="82" t="s">
        <v>146</v>
      </c>
    </row>
    <row r="154" spans="1:14" ht="15.95" hidden="1" customHeight="1" x14ac:dyDescent="0.15">
      <c r="B154" s="62" t="s">
        <v>130</v>
      </c>
      <c r="C154" s="4" t="s">
        <v>44</v>
      </c>
      <c r="D154" s="83" t="s">
        <v>298</v>
      </c>
      <c r="E154" s="52"/>
    </row>
    <row r="155" spans="1:14" ht="15.95" hidden="1" customHeight="1" x14ac:dyDescent="0.15">
      <c r="B155" s="62" t="s">
        <v>131</v>
      </c>
      <c r="C155" s="4" t="s">
        <v>44</v>
      </c>
      <c r="D155" s="20" t="s">
        <v>166</v>
      </c>
      <c r="E155" s="52"/>
      <c r="G155" s="4" t="s">
        <v>145</v>
      </c>
      <c r="H155" s="20" t="s">
        <v>147</v>
      </c>
    </row>
    <row r="156" spans="1:14" ht="15.95" hidden="1" customHeight="1" x14ac:dyDescent="0.15">
      <c r="B156" s="62" t="s">
        <v>164</v>
      </c>
      <c r="C156" s="4" t="s">
        <v>44</v>
      </c>
      <c r="D156" s="20" t="s">
        <v>167</v>
      </c>
      <c r="E156" s="52"/>
      <c r="G156" s="20" t="s">
        <v>169</v>
      </c>
      <c r="H156" s="20"/>
      <c r="N156" s="27"/>
    </row>
    <row r="157" spans="1:14" ht="15.95" hidden="1" customHeight="1" x14ac:dyDescent="0.15">
      <c r="B157" s="62" t="s">
        <v>165</v>
      </c>
      <c r="C157" s="4" t="s">
        <v>44</v>
      </c>
      <c r="D157" s="20" t="s">
        <v>168</v>
      </c>
      <c r="E157" s="22"/>
      <c r="G157" s="4" t="s">
        <v>145</v>
      </c>
      <c r="H157" s="20" t="s">
        <v>148</v>
      </c>
      <c r="N157" s="27"/>
    </row>
    <row r="158" spans="1:14" ht="15.95" hidden="1" customHeight="1" x14ac:dyDescent="0.15"/>
    <row r="159" spans="1:14" ht="15.95" hidden="1" customHeight="1" x14ac:dyDescent="0.15"/>
    <row r="160" spans="1:14" ht="15.95" hidden="1" customHeight="1" x14ac:dyDescent="0.15">
      <c r="A160" s="33"/>
      <c r="B160" s="8" t="s">
        <v>136</v>
      </c>
    </row>
    <row r="161" spans="1:11" ht="15.95" hidden="1" customHeight="1" x14ac:dyDescent="0.15"/>
    <row r="162" spans="1:11" ht="15.95" hidden="1" customHeight="1" x14ac:dyDescent="0.15">
      <c r="B162" s="82" t="s">
        <v>137</v>
      </c>
      <c r="C162" s="4" t="s">
        <v>44</v>
      </c>
      <c r="D162" s="147">
        <f>D71</f>
        <v>4750</v>
      </c>
      <c r="E162" s="27" t="s">
        <v>562</v>
      </c>
      <c r="F162" s="27"/>
      <c r="G162" s="4" t="s">
        <v>145</v>
      </c>
      <c r="H162" s="20" t="s">
        <v>143</v>
      </c>
    </row>
    <row r="163" spans="1:11" ht="15.95" hidden="1" customHeight="1" x14ac:dyDescent="0.15">
      <c r="B163" s="20" t="s">
        <v>52</v>
      </c>
      <c r="C163" s="4" t="s">
        <v>44</v>
      </c>
      <c r="D163" s="149">
        <f>D72</f>
        <v>250</v>
      </c>
      <c r="E163" s="27" t="s">
        <v>562</v>
      </c>
      <c r="F163" s="27"/>
      <c r="G163" s="4" t="s">
        <v>145</v>
      </c>
      <c r="H163" s="20" t="s">
        <v>144</v>
      </c>
    </row>
    <row r="164" spans="1:11" ht="15.95" hidden="1" customHeight="1" x14ac:dyDescent="0.15">
      <c r="B164" s="20" t="s">
        <v>170</v>
      </c>
      <c r="C164" s="4" t="s">
        <v>44</v>
      </c>
      <c r="D164" s="147">
        <f>(D162^2-D163^2)/(2*D162)</f>
        <v>2368.4210526315787</v>
      </c>
      <c r="E164" s="27" t="s">
        <v>562</v>
      </c>
      <c r="F164" s="27"/>
      <c r="G164" s="4" t="s">
        <v>145</v>
      </c>
      <c r="H164" s="20" t="s">
        <v>171</v>
      </c>
      <c r="K164" s="20"/>
    </row>
    <row r="165" spans="1:11" ht="15.95" hidden="1" customHeight="1" x14ac:dyDescent="0.15">
      <c r="B165" s="84" t="s">
        <v>162</v>
      </c>
      <c r="C165" s="4" t="s">
        <v>44</v>
      </c>
      <c r="D165" s="147">
        <f>D82</f>
        <v>0</v>
      </c>
      <c r="E165" s="8" t="s">
        <v>580</v>
      </c>
      <c r="G165" s="4" t="s">
        <v>145</v>
      </c>
      <c r="H165" s="20" t="s">
        <v>172</v>
      </c>
    </row>
    <row r="166" spans="1:11" ht="15.95" hidden="1" customHeight="1" x14ac:dyDescent="0.15">
      <c r="B166" s="84" t="s">
        <v>317</v>
      </c>
      <c r="C166" s="4" t="s">
        <v>44</v>
      </c>
      <c r="D166" s="147">
        <f>D165-D121</f>
        <v>0</v>
      </c>
      <c r="E166" s="8" t="s">
        <v>580</v>
      </c>
      <c r="F166" s="27"/>
      <c r="G166" s="4" t="s">
        <v>145</v>
      </c>
      <c r="H166" s="20" t="s">
        <v>173</v>
      </c>
      <c r="K166" s="20"/>
    </row>
    <row r="167" spans="1:11" ht="15.95" hidden="1" customHeight="1" x14ac:dyDescent="0.15">
      <c r="B167" s="62" t="s">
        <v>139</v>
      </c>
      <c r="C167" s="4" t="s">
        <v>44</v>
      </c>
      <c r="D167" s="147">
        <f>D75</f>
        <v>69637.021649999995</v>
      </c>
      <c r="E167" s="27" t="s">
        <v>561</v>
      </c>
      <c r="G167" s="4" t="s">
        <v>145</v>
      </c>
      <c r="H167" s="20" t="s">
        <v>140</v>
      </c>
    </row>
    <row r="168" spans="1:11" ht="15.95" hidden="1" customHeight="1" x14ac:dyDescent="0.15">
      <c r="B168" s="6" t="s">
        <v>453</v>
      </c>
      <c r="C168" s="4" t="s">
        <v>44</v>
      </c>
      <c r="D168" s="147">
        <f>D76</f>
        <v>3996849.4310645722</v>
      </c>
      <c r="E168" s="8" t="s">
        <v>579</v>
      </c>
      <c r="G168" s="4" t="s">
        <v>145</v>
      </c>
      <c r="H168" s="20" t="s">
        <v>454</v>
      </c>
    </row>
    <row r="169" spans="1:11" ht="15.95" hidden="1" customHeight="1" x14ac:dyDescent="0.15">
      <c r="B169" s="6"/>
      <c r="C169" s="4"/>
      <c r="D169" s="93"/>
      <c r="G169" s="4"/>
      <c r="H169" s="20"/>
    </row>
    <row r="170" spans="1:11" ht="15.95" hidden="1" customHeight="1" x14ac:dyDescent="0.15"/>
    <row r="171" spans="1:11" ht="15.95" hidden="1" customHeight="1" x14ac:dyDescent="0.15">
      <c r="A171" s="19"/>
      <c r="B171" s="8" t="s">
        <v>149</v>
      </c>
    </row>
    <row r="172" spans="1:11" ht="15.95" hidden="1" customHeight="1" x14ac:dyDescent="0.15"/>
    <row r="173" spans="1:11" ht="15.95" hidden="1" customHeight="1" x14ac:dyDescent="0.15">
      <c r="A173" s="8" t="s">
        <v>285</v>
      </c>
      <c r="B173" s="62" t="s">
        <v>150</v>
      </c>
      <c r="C173" s="4" t="s">
        <v>44</v>
      </c>
      <c r="D173" s="20" t="s">
        <v>299</v>
      </c>
      <c r="H173" s="62" t="s">
        <v>130</v>
      </c>
      <c r="I173" s="4" t="s">
        <v>44</v>
      </c>
      <c r="J173" s="83" t="s">
        <v>298</v>
      </c>
    </row>
    <row r="174" spans="1:11" ht="15.95" hidden="1" customHeight="1" x14ac:dyDescent="0.15">
      <c r="B174" s="62"/>
      <c r="C174" s="4" t="s">
        <v>44</v>
      </c>
      <c r="D174" s="147">
        <f>D166*D163/D162</f>
        <v>0</v>
      </c>
      <c r="E174" s="8" t="s">
        <v>580</v>
      </c>
      <c r="H174" s="33"/>
      <c r="I174" s="4" t="s">
        <v>44</v>
      </c>
      <c r="J174" s="147">
        <f>(D163+D162)/D162*D166</f>
        <v>0</v>
      </c>
      <c r="K174" s="8" t="s">
        <v>580</v>
      </c>
    </row>
    <row r="175" spans="1:11" ht="15.95" hidden="1" customHeight="1" x14ac:dyDescent="0.15"/>
    <row r="176" spans="1:11" ht="15.95" hidden="1" customHeight="1" x14ac:dyDescent="0.15">
      <c r="B176" s="62" t="s">
        <v>131</v>
      </c>
      <c r="C176" s="4" t="s">
        <v>44</v>
      </c>
      <c r="D176" s="20" t="s">
        <v>166</v>
      </c>
      <c r="H176" s="62" t="s">
        <v>164</v>
      </c>
      <c r="I176" s="4" t="s">
        <v>44</v>
      </c>
      <c r="J176" s="20" t="s">
        <v>167</v>
      </c>
    </row>
    <row r="177" spans="1:26" ht="15.95" hidden="1" customHeight="1" x14ac:dyDescent="0.15">
      <c r="C177" s="4" t="s">
        <v>44</v>
      </c>
      <c r="D177" s="147">
        <f>(D166*D163)</f>
        <v>0</v>
      </c>
      <c r="E177" s="27" t="s">
        <v>619</v>
      </c>
      <c r="I177" s="4" t="s">
        <v>44</v>
      </c>
      <c r="J177" s="147">
        <f>((D166*D163)*(D164/D162))</f>
        <v>0</v>
      </c>
      <c r="K177" s="27" t="s">
        <v>619</v>
      </c>
    </row>
    <row r="178" spans="1:26" ht="15.95" hidden="1" customHeight="1" x14ac:dyDescent="0.15"/>
    <row r="179" spans="1:26" ht="15.95" hidden="1" customHeight="1" x14ac:dyDescent="0.15">
      <c r="B179" s="62" t="s">
        <v>175</v>
      </c>
      <c r="C179" s="4" t="s">
        <v>44</v>
      </c>
      <c r="D179" s="81" t="s">
        <v>176</v>
      </c>
    </row>
    <row r="180" spans="1:26" ht="15.95" hidden="1" customHeight="1" x14ac:dyDescent="0.15">
      <c r="B180" s="52"/>
      <c r="C180" s="4" t="s">
        <v>44</v>
      </c>
      <c r="D180" s="18">
        <f>((D166*D163^2*(D162+D163))/(3*D167*D168))</f>
        <v>0</v>
      </c>
      <c r="E180" s="27" t="s">
        <v>582</v>
      </c>
    </row>
    <row r="181" spans="1:26" ht="15.95" hidden="1" customHeight="1" x14ac:dyDescent="0.15"/>
    <row r="182" spans="1:26" ht="15.95" hidden="1" customHeight="1" x14ac:dyDescent="0.15">
      <c r="B182" s="62" t="s">
        <v>174</v>
      </c>
      <c r="C182" s="4" t="s">
        <v>44</v>
      </c>
      <c r="D182" s="20" t="s">
        <v>168</v>
      </c>
    </row>
    <row r="183" spans="1:26" ht="15.95" hidden="1" customHeight="1" x14ac:dyDescent="0.15">
      <c r="B183" s="52"/>
      <c r="C183" s="4" t="s">
        <v>44</v>
      </c>
      <c r="D183" s="18">
        <f>(0.0642*D166*D163*D162^2/(D167*D168))</f>
        <v>0</v>
      </c>
      <c r="E183" s="27" t="s">
        <v>582</v>
      </c>
    </row>
    <row r="184" spans="1:26" ht="15.95" hidden="1" customHeight="1" x14ac:dyDescent="0.15"/>
    <row r="185" spans="1:26" ht="15.95" hidden="1" customHeight="1" x14ac:dyDescent="0.15">
      <c r="A185" s="27"/>
      <c r="B185" s="61" t="s">
        <v>189</v>
      </c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N185" s="29" t="s">
        <v>401</v>
      </c>
      <c r="O185" s="444">
        <f>G6</f>
        <v>5</v>
      </c>
      <c r="P185" s="30"/>
    </row>
    <row r="186" spans="1:26" s="31" customFormat="1" ht="15.95" hidden="1" customHeight="1" x14ac:dyDescent="0.15">
      <c r="J186" s="32"/>
      <c r="K186" s="21"/>
      <c r="L186" s="32"/>
      <c r="M186" s="32"/>
      <c r="N186" s="21"/>
      <c r="O186" s="21"/>
      <c r="P186" s="21"/>
      <c r="V186" s="36"/>
      <c r="X186" s="36"/>
      <c r="Z186" s="36"/>
    </row>
    <row r="187" spans="1:26" s="31" customFormat="1" ht="15.95" hidden="1" customHeight="1" x14ac:dyDescent="0.15">
      <c r="A187" s="8"/>
      <c r="B187" s="33" t="s">
        <v>335</v>
      </c>
      <c r="C187" s="33"/>
      <c r="G187" s="34" t="s">
        <v>336</v>
      </c>
      <c r="H187" s="85"/>
      <c r="I187" s="27"/>
      <c r="J187" s="86"/>
      <c r="K187" s="35"/>
      <c r="L187" s="8"/>
      <c r="M187" s="8"/>
      <c r="N187" s="36" t="s">
        <v>337</v>
      </c>
      <c r="O187" s="443">
        <v>14</v>
      </c>
      <c r="P187" s="8"/>
      <c r="S187" s="8"/>
      <c r="V187" s="36"/>
      <c r="X187" s="36"/>
      <c r="Z187" s="36"/>
    </row>
    <row r="188" spans="1:26" s="31" customFormat="1" ht="15.95" hidden="1" customHeight="1" x14ac:dyDescent="0.15">
      <c r="A188" s="8"/>
      <c r="B188" s="33"/>
      <c r="C188" s="8"/>
      <c r="D188" s="8"/>
      <c r="E188" s="8"/>
      <c r="G188" s="21"/>
      <c r="I188" s="8"/>
      <c r="J188" s="33"/>
      <c r="K188" s="22"/>
      <c r="L188" s="8"/>
      <c r="M188" s="22" t="s">
        <v>338</v>
      </c>
      <c r="N188" s="87">
        <v>5</v>
      </c>
      <c r="O188" s="87">
        <v>6</v>
      </c>
      <c r="Q188" s="790" t="s">
        <v>339</v>
      </c>
      <c r="R188" s="791"/>
      <c r="S188" s="792" t="s">
        <v>374</v>
      </c>
      <c r="T188" s="793"/>
      <c r="U188" s="794"/>
      <c r="V188" s="36"/>
      <c r="X188" s="36"/>
      <c r="Z188" s="36"/>
    </row>
    <row r="189" spans="1:26" s="31" customFormat="1" ht="15.95" hidden="1" customHeight="1" x14ac:dyDescent="0.15">
      <c r="A189" s="8"/>
      <c r="B189" s="20" t="s">
        <v>390</v>
      </c>
      <c r="C189" s="4" t="s">
        <v>4</v>
      </c>
      <c r="D189" s="151">
        <f>D12</f>
        <v>2600</v>
      </c>
      <c r="E189" s="13" t="s">
        <v>583</v>
      </c>
      <c r="F189" s="8"/>
      <c r="G189" s="20" t="s">
        <v>340</v>
      </c>
      <c r="H189" s="4" t="s">
        <v>341</v>
      </c>
      <c r="I189" s="130">
        <f>2*D189*D191/(SQRT(D190*D192))</f>
        <v>147.27259356576931</v>
      </c>
      <c r="K189" s="22"/>
      <c r="L189" s="8"/>
      <c r="M189" s="8"/>
      <c r="N189" s="37">
        <v>0</v>
      </c>
      <c r="O189" s="37">
        <v>0</v>
      </c>
      <c r="P189" s="21" t="s">
        <v>342</v>
      </c>
      <c r="Q189" s="38" t="s">
        <v>343</v>
      </c>
      <c r="R189" s="39" t="s">
        <v>344</v>
      </c>
      <c r="S189" s="39">
        <v>1</v>
      </c>
      <c r="T189" s="40">
        <f>IF(O185=5, N189, O189)</f>
        <v>0</v>
      </c>
      <c r="U189" s="39" t="str">
        <f>P189</f>
        <v>S  ≤  S₁</v>
      </c>
      <c r="V189" s="36"/>
      <c r="X189" s="36"/>
      <c r="Z189" s="36"/>
    </row>
    <row r="190" spans="1:26" s="31" customFormat="1" ht="15.95" hidden="1" customHeight="1" x14ac:dyDescent="0.15">
      <c r="A190" s="8"/>
      <c r="B190" s="20" t="s">
        <v>345</v>
      </c>
      <c r="C190" s="4" t="s">
        <v>4</v>
      </c>
      <c r="D190" s="151">
        <f>D41</f>
        <v>462398.66666666663</v>
      </c>
      <c r="E190" s="13" t="s">
        <v>584</v>
      </c>
      <c r="F190" s="8"/>
      <c r="G190" s="41" t="s">
        <v>346</v>
      </c>
      <c r="H190" s="22"/>
      <c r="I190" s="22"/>
      <c r="J190" s="36"/>
      <c r="K190" s="22"/>
      <c r="L190" s="8"/>
      <c r="M190" s="8"/>
      <c r="N190" s="42">
        <v>0</v>
      </c>
      <c r="O190" s="42">
        <v>0</v>
      </c>
      <c r="P190" s="21" t="s">
        <v>347</v>
      </c>
      <c r="Q190" s="43">
        <f>IF(O185=5, N190,O190)</f>
        <v>0</v>
      </c>
      <c r="R190" s="44">
        <f>IF(O185=5,N192,O192)</f>
        <v>3823</v>
      </c>
      <c r="S190" s="46">
        <v>2</v>
      </c>
      <c r="T190" s="45">
        <f>IF(O185=5, N191, O191)</f>
        <v>9.6505085589175899</v>
      </c>
      <c r="U190" s="46" t="str">
        <f>P191</f>
        <v>S₁&lt;  S  &lt; S₂</v>
      </c>
      <c r="V190" s="36"/>
      <c r="X190" s="36"/>
      <c r="Z190" s="36"/>
    </row>
    <row r="191" spans="1:26" s="31" customFormat="1" ht="15.95" hidden="1" customHeight="1" x14ac:dyDescent="0.15">
      <c r="B191" s="20" t="s">
        <v>179</v>
      </c>
      <c r="C191" s="4" t="s">
        <v>44</v>
      </c>
      <c r="D191" s="151">
        <f>D44</f>
        <v>19870.579852681814</v>
      </c>
      <c r="E191" s="13" t="s">
        <v>585</v>
      </c>
      <c r="G191" s="20" t="str">
        <f>U193</f>
        <v>S₁&lt;  S  &lt; S₂</v>
      </c>
      <c r="J191" s="8"/>
      <c r="K191" s="22"/>
      <c r="L191" s="8"/>
      <c r="M191" s="8"/>
      <c r="N191" s="42">
        <f>10.5-0.07*SQRT(I189)</f>
        <v>9.6505085589175899</v>
      </c>
      <c r="O191" s="42">
        <f>16.7-0.14*SQRT(I189)</f>
        <v>15.001017117835179</v>
      </c>
      <c r="P191" s="21" t="s">
        <v>348</v>
      </c>
      <c r="Q191" s="88" t="s">
        <v>349</v>
      </c>
      <c r="S191" s="44">
        <v>3</v>
      </c>
      <c r="T191" s="47">
        <f>IF(O185=5, N193, O193)</f>
        <v>160.24026893680735</v>
      </c>
      <c r="U191" s="44" t="str">
        <f>P193</f>
        <v>S  ≥  S₂</v>
      </c>
      <c r="V191" s="36"/>
      <c r="X191" s="36"/>
      <c r="Z191" s="36"/>
    </row>
    <row r="192" spans="1:26" s="31" customFormat="1" ht="15.95" hidden="1" customHeight="1" thickBot="1" x14ac:dyDescent="0.2">
      <c r="A192" s="8"/>
      <c r="B192" s="20" t="s">
        <v>350</v>
      </c>
      <c r="C192" s="4" t="s">
        <v>44</v>
      </c>
      <c r="D192" s="151">
        <f>D45</f>
        <v>1064553.0909090908</v>
      </c>
      <c r="E192" s="13" t="s">
        <v>584</v>
      </c>
      <c r="F192" s="22"/>
      <c r="H192" s="22"/>
      <c r="I192" s="8"/>
      <c r="J192" s="8"/>
      <c r="K192" s="8"/>
      <c r="L192" s="8"/>
      <c r="M192" s="8"/>
      <c r="N192" s="42">
        <v>3823</v>
      </c>
      <c r="O192" s="42">
        <v>2400</v>
      </c>
      <c r="P192" s="21" t="s">
        <v>352</v>
      </c>
      <c r="Q192" s="39" t="s">
        <v>353</v>
      </c>
      <c r="V192" s="36"/>
      <c r="X192" s="36"/>
      <c r="Z192" s="36"/>
    </row>
    <row r="193" spans="1:26" s="31" customFormat="1" ht="15.95" hidden="1" customHeight="1" thickBot="1" x14ac:dyDescent="0.2">
      <c r="A193" s="8"/>
      <c r="B193" s="20" t="s">
        <v>354</v>
      </c>
      <c r="C193" s="4" t="s">
        <v>44</v>
      </c>
      <c r="D193" s="8">
        <f>T193</f>
        <v>9.6505085589175899</v>
      </c>
      <c r="E193" s="13" t="s">
        <v>232</v>
      </c>
      <c r="F193" s="22"/>
      <c r="K193" s="8"/>
      <c r="L193" s="8"/>
      <c r="M193" s="8"/>
      <c r="N193" s="48">
        <f>23599/I189</f>
        <v>160.24026893680735</v>
      </c>
      <c r="O193" s="48">
        <f>23599/I189</f>
        <v>160.24026893680735</v>
      </c>
      <c r="P193" s="21" t="s">
        <v>355</v>
      </c>
      <c r="Q193" s="44">
        <f>I189</f>
        <v>147.27259356576931</v>
      </c>
      <c r="S193" s="89">
        <f>IF(Q193&lt;=Q190,1,IF(AND(Q193&gt;Q190,Q193&lt;R190),2,3))</f>
        <v>2</v>
      </c>
      <c r="T193" s="49">
        <f>VLOOKUP(S193, S189:T191, 2, FALSE)</f>
        <v>9.6505085589175899</v>
      </c>
      <c r="U193" s="50" t="str">
        <f>VLOOKUP(S193,S189:U191, 3, FALSE)</f>
        <v>S₁&lt;  S  &lt; S₂</v>
      </c>
      <c r="V193" s="36"/>
      <c r="X193" s="36"/>
      <c r="Z193" s="36"/>
    </row>
    <row r="194" spans="1:26" s="31" customFormat="1" ht="15.95" hidden="1" customHeight="1" x14ac:dyDescent="0.15">
      <c r="A194" s="8"/>
      <c r="C194" s="4" t="s">
        <v>44</v>
      </c>
      <c r="D194" s="13">
        <f>D193*6.894757</f>
        <v>66.537911440156961</v>
      </c>
      <c r="E194" s="13" t="s">
        <v>561</v>
      </c>
      <c r="F194" s="22"/>
      <c r="G194" s="22"/>
      <c r="H194" s="22"/>
      <c r="I194" s="8"/>
      <c r="J194" s="8"/>
      <c r="K194" s="8"/>
      <c r="L194" s="8"/>
      <c r="M194" s="8"/>
      <c r="V194" s="36"/>
      <c r="X194" s="36"/>
      <c r="Z194" s="36"/>
    </row>
    <row r="195" spans="1:26" s="31" customFormat="1" ht="15.95" hidden="1" customHeight="1" x14ac:dyDescent="0.15">
      <c r="A195" s="8"/>
      <c r="C195" s="4"/>
      <c r="D195" s="13"/>
      <c r="E195" s="13"/>
      <c r="F195" s="22"/>
      <c r="G195" s="22"/>
      <c r="H195" s="22"/>
      <c r="I195" s="8"/>
      <c r="J195" s="8"/>
      <c r="K195" s="8"/>
      <c r="L195" s="8"/>
      <c r="M195" s="8"/>
      <c r="V195" s="36"/>
      <c r="X195" s="36"/>
      <c r="Z195" s="36"/>
    </row>
    <row r="196" spans="1:26" s="31" customFormat="1" ht="15.95" hidden="1" customHeight="1" x14ac:dyDescent="0.15">
      <c r="A196" s="8"/>
      <c r="B196" s="33" t="s">
        <v>356</v>
      </c>
      <c r="C196" s="33"/>
      <c r="D196" s="131"/>
      <c r="E196" s="131"/>
      <c r="G196" s="34" t="s">
        <v>357</v>
      </c>
      <c r="H196" s="85"/>
      <c r="I196" s="22"/>
      <c r="J196" s="86"/>
      <c r="K196" s="8"/>
      <c r="L196" s="8"/>
      <c r="M196" s="8"/>
      <c r="N196" s="36" t="s">
        <v>337</v>
      </c>
      <c r="O196" s="443">
        <v>16</v>
      </c>
      <c r="P196" s="8"/>
      <c r="S196" s="8"/>
      <c r="V196" s="36"/>
      <c r="X196" s="36"/>
      <c r="Z196" s="36"/>
    </row>
    <row r="197" spans="1:26" s="31" customFormat="1" ht="15.95" hidden="1" customHeight="1" x14ac:dyDescent="0.15">
      <c r="A197" s="8"/>
      <c r="B197" s="33"/>
      <c r="C197" s="33"/>
      <c r="D197" s="131"/>
      <c r="E197" s="131"/>
      <c r="F197" s="33"/>
      <c r="G197" s="33"/>
      <c r="H197" s="33"/>
      <c r="I197" s="8"/>
      <c r="J197" s="33"/>
      <c r="K197" s="8"/>
      <c r="L197" s="8"/>
      <c r="M197" s="22" t="s">
        <v>338</v>
      </c>
      <c r="N197" s="87">
        <v>5</v>
      </c>
      <c r="O197" s="87">
        <v>6</v>
      </c>
      <c r="Q197" s="790" t="s">
        <v>339</v>
      </c>
      <c r="R197" s="791"/>
      <c r="S197" s="792" t="s">
        <v>374</v>
      </c>
      <c r="T197" s="793"/>
      <c r="U197" s="794"/>
      <c r="V197" s="36"/>
      <c r="X197" s="36"/>
      <c r="Z197" s="36"/>
    </row>
    <row r="198" spans="1:26" s="31" customFormat="1" ht="15.95" hidden="1" customHeight="1" x14ac:dyDescent="0.15">
      <c r="A198" s="8"/>
      <c r="B198" s="20" t="s">
        <v>121</v>
      </c>
      <c r="C198" s="4" t="s">
        <v>44</v>
      </c>
      <c r="D198" s="7">
        <f>R39</f>
        <v>56</v>
      </c>
      <c r="E198" s="13" t="s">
        <v>583</v>
      </c>
      <c r="F198" s="8"/>
      <c r="G198" s="20" t="str">
        <f>U202</f>
        <v>S₁&lt;  S  &lt; S₂</v>
      </c>
      <c r="K198" s="8"/>
      <c r="L198" s="8"/>
      <c r="M198" s="8"/>
      <c r="N198" s="37">
        <v>9.6999999999999993</v>
      </c>
      <c r="O198" s="37">
        <v>15.2</v>
      </c>
      <c r="P198" s="21" t="s">
        <v>342</v>
      </c>
      <c r="Q198" s="38" t="s">
        <v>343</v>
      </c>
      <c r="R198" s="39" t="s">
        <v>344</v>
      </c>
      <c r="S198" s="39">
        <v>1</v>
      </c>
      <c r="T198" s="40">
        <f>IF(O185=5, N198, O198)</f>
        <v>9.6999999999999993</v>
      </c>
      <c r="U198" s="39" t="str">
        <f>P198</f>
        <v>S  ≤  S₁</v>
      </c>
      <c r="V198" s="36"/>
      <c r="X198" s="36"/>
      <c r="Z198" s="36"/>
    </row>
    <row r="199" spans="1:26" s="31" customFormat="1" ht="15.95" hidden="1" customHeight="1" x14ac:dyDescent="0.15">
      <c r="A199" s="8"/>
      <c r="B199" s="20" t="s">
        <v>379</v>
      </c>
      <c r="C199" s="4" t="s">
        <v>44</v>
      </c>
      <c r="D199" s="7">
        <f>R41</f>
        <v>2</v>
      </c>
      <c r="E199" s="13" t="s">
        <v>583</v>
      </c>
      <c r="G199" s="8"/>
      <c r="H199" s="8"/>
      <c r="I199" s="8"/>
      <c r="J199" s="8"/>
      <c r="K199" s="8"/>
      <c r="L199" s="8"/>
      <c r="M199" s="8"/>
      <c r="N199" s="42">
        <v>25.6</v>
      </c>
      <c r="O199" s="42">
        <v>22.8</v>
      </c>
      <c r="P199" s="21" t="s">
        <v>347</v>
      </c>
      <c r="Q199" s="43">
        <f>IF(O185=5, N199,O199)</f>
        <v>25.6</v>
      </c>
      <c r="R199" s="44">
        <f>IF(O185=5,N201,O201)</f>
        <v>50</v>
      </c>
      <c r="S199" s="46">
        <v>2</v>
      </c>
      <c r="T199" s="45">
        <f>IF(O185=5, N200, O200)</f>
        <v>9.4760000000000009</v>
      </c>
      <c r="U199" s="46" t="str">
        <f>P200</f>
        <v>S₁&lt;  S  &lt; S₂</v>
      </c>
      <c r="V199" s="36"/>
      <c r="X199" s="36"/>
      <c r="Z199" s="36"/>
    </row>
    <row r="200" spans="1:26" s="31" customFormat="1" ht="15.95" hidden="1" customHeight="1" x14ac:dyDescent="0.15">
      <c r="A200" s="8"/>
      <c r="B200" s="20" t="s">
        <v>402</v>
      </c>
      <c r="C200" s="4" t="s">
        <v>44</v>
      </c>
      <c r="D200" s="7">
        <f>D198/D199</f>
        <v>28</v>
      </c>
      <c r="E200" s="13"/>
      <c r="F200" s="8"/>
      <c r="H200" s="8"/>
      <c r="I200" s="8"/>
      <c r="J200" s="8"/>
      <c r="K200" s="8"/>
      <c r="L200" s="8"/>
      <c r="M200" s="8"/>
      <c r="N200" s="42">
        <f>11.8-0.083*D200</f>
        <v>9.4760000000000009</v>
      </c>
      <c r="O200" s="42">
        <f>19-0.17*(D200)</f>
        <v>14.239999999999998</v>
      </c>
      <c r="P200" s="21" t="s">
        <v>348</v>
      </c>
      <c r="Q200" s="88" t="s">
        <v>349</v>
      </c>
      <c r="S200" s="44">
        <v>3</v>
      </c>
      <c r="T200" s="47">
        <f>IF(O185=5, N202, O202)</f>
        <v>13.642857142857142</v>
      </c>
      <c r="U200" s="44" t="str">
        <f>P202</f>
        <v>S  ≥  S₂</v>
      </c>
      <c r="V200" s="36"/>
      <c r="X200" s="36"/>
      <c r="Z200" s="36"/>
    </row>
    <row r="201" spans="1:26" s="31" customFormat="1" ht="15.95" hidden="1" customHeight="1" thickBot="1" x14ac:dyDescent="0.2">
      <c r="A201" s="8"/>
      <c r="B201" s="20" t="s">
        <v>365</v>
      </c>
      <c r="C201" s="4" t="s">
        <v>44</v>
      </c>
      <c r="D201" s="8">
        <f>T202</f>
        <v>9.4760000000000009</v>
      </c>
      <c r="E201" s="13" t="s">
        <v>232</v>
      </c>
      <c r="F201" s="8"/>
      <c r="G201" s="8"/>
      <c r="H201" s="8"/>
      <c r="I201" s="8"/>
      <c r="J201" s="8"/>
      <c r="K201" s="8"/>
      <c r="L201" s="8"/>
      <c r="M201" s="8"/>
      <c r="N201" s="42">
        <v>50</v>
      </c>
      <c r="O201" s="42">
        <v>39</v>
      </c>
      <c r="P201" s="21" t="s">
        <v>352</v>
      </c>
      <c r="Q201" s="39" t="s">
        <v>353</v>
      </c>
      <c r="V201" s="36"/>
      <c r="X201" s="36"/>
      <c r="Z201" s="36"/>
    </row>
    <row r="202" spans="1:26" s="31" customFormat="1" ht="15.95" hidden="1" customHeight="1" thickBot="1" x14ac:dyDescent="0.2">
      <c r="A202" s="8"/>
      <c r="B202" s="27"/>
      <c r="C202" s="4" t="s">
        <v>44</v>
      </c>
      <c r="D202" s="13">
        <f>D201*6.894757</f>
        <v>65.334717332000011</v>
      </c>
      <c r="E202" s="13" t="s">
        <v>561</v>
      </c>
      <c r="F202" s="8"/>
      <c r="G202" s="8"/>
      <c r="H202" s="8"/>
      <c r="I202" s="8"/>
      <c r="J202" s="8"/>
      <c r="K202" s="8"/>
      <c r="L202" s="8"/>
      <c r="M202" s="8"/>
      <c r="N202" s="48">
        <f>382/D200</f>
        <v>13.642857142857142</v>
      </c>
      <c r="O202" s="48">
        <f>484/D200</f>
        <v>17.285714285714285</v>
      </c>
      <c r="P202" s="21" t="s">
        <v>355</v>
      </c>
      <c r="Q202" s="44">
        <f>D200</f>
        <v>28</v>
      </c>
      <c r="S202" s="89">
        <f>IF(Q202&lt;=Q199,1,IF(AND(Q202&gt;Q199,Q202&lt;R199),2,3))</f>
        <v>2</v>
      </c>
      <c r="T202" s="49">
        <f>VLOOKUP(S202, S198:T200, 2, FALSE)</f>
        <v>9.4760000000000009</v>
      </c>
      <c r="U202" s="50" t="str">
        <f>VLOOKUP(S202,S198:U200, 3, FALSE)</f>
        <v>S₁&lt;  S  &lt; S₂</v>
      </c>
      <c r="V202" s="36"/>
      <c r="X202" s="36"/>
      <c r="Z202" s="36"/>
    </row>
    <row r="203" spans="1:26" s="31" customFormat="1" ht="15.95" hidden="1" customHeight="1" x14ac:dyDescent="0.15">
      <c r="A203" s="8"/>
      <c r="C203" s="4"/>
      <c r="D203" s="13"/>
      <c r="E203" s="13"/>
      <c r="F203" s="22"/>
      <c r="G203" s="22"/>
      <c r="H203" s="22"/>
      <c r="I203" s="8"/>
      <c r="J203" s="8"/>
      <c r="K203" s="8"/>
      <c r="L203" s="8"/>
      <c r="M203" s="8"/>
      <c r="V203" s="36"/>
      <c r="X203" s="36"/>
      <c r="Z203" s="36"/>
    </row>
    <row r="204" spans="1:26" s="31" customFormat="1" ht="15.95" hidden="1" customHeight="1" x14ac:dyDescent="0.15">
      <c r="A204" s="8"/>
      <c r="B204" s="33" t="s">
        <v>356</v>
      </c>
      <c r="C204" s="33"/>
      <c r="D204" s="131"/>
      <c r="E204" s="131"/>
      <c r="F204" s="33"/>
      <c r="G204" s="34" t="s">
        <v>370</v>
      </c>
      <c r="H204" s="85"/>
      <c r="I204" s="8"/>
      <c r="J204" s="33"/>
      <c r="K204" s="8"/>
      <c r="L204" s="8"/>
      <c r="M204" s="8"/>
      <c r="N204" s="36" t="s">
        <v>337</v>
      </c>
      <c r="O204" s="443">
        <v>18</v>
      </c>
      <c r="P204" s="8"/>
      <c r="S204" s="8"/>
      <c r="V204" s="36"/>
      <c r="X204" s="36"/>
      <c r="Z204" s="36"/>
    </row>
    <row r="205" spans="1:26" s="31" customFormat="1" ht="15.95" hidden="1" customHeight="1" x14ac:dyDescent="0.15">
      <c r="A205" s="8"/>
      <c r="B205" s="33"/>
      <c r="C205" s="33"/>
      <c r="D205" s="131"/>
      <c r="E205" s="131"/>
      <c r="F205" s="33"/>
      <c r="G205" s="33"/>
      <c r="H205" s="33"/>
      <c r="I205" s="8"/>
      <c r="J205" s="33"/>
      <c r="K205" s="8"/>
      <c r="L205" s="8"/>
      <c r="M205" s="22" t="s">
        <v>338</v>
      </c>
      <c r="N205" s="87">
        <v>5</v>
      </c>
      <c r="O205" s="87">
        <v>6</v>
      </c>
      <c r="Q205" s="790" t="s">
        <v>339</v>
      </c>
      <c r="R205" s="791"/>
      <c r="S205" s="792" t="s">
        <v>374</v>
      </c>
      <c r="T205" s="793"/>
      <c r="U205" s="794"/>
      <c r="V205" s="36"/>
      <c r="X205" s="36"/>
      <c r="Z205" s="36"/>
    </row>
    <row r="206" spans="1:26" s="31" customFormat="1" ht="15.95" hidden="1" customHeight="1" x14ac:dyDescent="0.15">
      <c r="A206" s="8"/>
      <c r="B206" s="20" t="s">
        <v>120</v>
      </c>
      <c r="C206" s="4" t="s">
        <v>44</v>
      </c>
      <c r="D206" s="7">
        <f>R40</f>
        <v>116</v>
      </c>
      <c r="E206" s="13" t="s">
        <v>583</v>
      </c>
      <c r="F206" s="8"/>
      <c r="G206" s="20" t="str">
        <f>U210</f>
        <v>S  ≤  S₁</v>
      </c>
      <c r="K206" s="8"/>
      <c r="L206" s="8"/>
      <c r="M206" s="8"/>
      <c r="N206" s="37">
        <v>12.6</v>
      </c>
      <c r="O206" s="37">
        <v>19.7</v>
      </c>
      <c r="P206" s="21" t="s">
        <v>342</v>
      </c>
      <c r="Q206" s="38" t="s">
        <v>343</v>
      </c>
      <c r="R206" s="39" t="s">
        <v>344</v>
      </c>
      <c r="S206" s="39">
        <v>1</v>
      </c>
      <c r="T206" s="40">
        <f>IF(O185=5, N206, O206)</f>
        <v>12.6</v>
      </c>
      <c r="U206" s="39" t="str">
        <f>P206</f>
        <v>S  ≤  S₁</v>
      </c>
      <c r="V206" s="36"/>
      <c r="X206" s="36"/>
      <c r="Z206" s="36"/>
    </row>
    <row r="207" spans="1:26" s="31" customFormat="1" ht="15.95" hidden="1" customHeight="1" x14ac:dyDescent="0.15">
      <c r="A207" s="8"/>
      <c r="B207" s="20" t="s">
        <v>379</v>
      </c>
      <c r="C207" s="4" t="s">
        <v>44</v>
      </c>
      <c r="D207" s="7">
        <f>R42</f>
        <v>2</v>
      </c>
      <c r="E207" s="13" t="s">
        <v>583</v>
      </c>
      <c r="F207" s="8"/>
      <c r="H207" s="8"/>
      <c r="I207" s="8"/>
      <c r="J207" s="8"/>
      <c r="K207" s="8"/>
      <c r="L207" s="8"/>
      <c r="M207" s="8"/>
      <c r="N207" s="42">
        <v>61</v>
      </c>
      <c r="O207" s="42">
        <v>54.9</v>
      </c>
      <c r="P207" s="21" t="s">
        <v>347</v>
      </c>
      <c r="Q207" s="43">
        <f>IF(O185=5, N207,O207)</f>
        <v>61</v>
      </c>
      <c r="R207" s="44">
        <f>IF(O185=5,N209,O209)</f>
        <v>115</v>
      </c>
      <c r="S207" s="46">
        <v>2</v>
      </c>
      <c r="T207" s="45">
        <f>IF(O185=5, N208, O208)</f>
        <v>12.808000000000002</v>
      </c>
      <c r="U207" s="46" t="str">
        <f>P208</f>
        <v>S₁&lt;  S  &lt; S₂</v>
      </c>
      <c r="V207" s="36"/>
      <c r="X207" s="36"/>
      <c r="Z207" s="36"/>
    </row>
    <row r="208" spans="1:26" s="31" customFormat="1" ht="15.95" hidden="1" customHeight="1" x14ac:dyDescent="0.15">
      <c r="A208" s="8"/>
      <c r="B208" s="20" t="s">
        <v>403</v>
      </c>
      <c r="C208" s="4" t="s">
        <v>44</v>
      </c>
      <c r="D208" s="7">
        <f>D206/D207</f>
        <v>58</v>
      </c>
      <c r="E208" s="13"/>
      <c r="F208" s="8"/>
      <c r="H208" s="8"/>
      <c r="I208" s="8"/>
      <c r="J208" s="8"/>
      <c r="K208" s="8"/>
      <c r="L208" s="8"/>
      <c r="M208" s="8"/>
      <c r="N208" s="42">
        <f>17.1-0.074*D208</f>
        <v>12.808000000000002</v>
      </c>
      <c r="O208" s="42">
        <f>27.9-0.15*(D208)</f>
        <v>19.2</v>
      </c>
      <c r="P208" s="21" t="s">
        <v>348</v>
      </c>
      <c r="Q208" s="88" t="s">
        <v>349</v>
      </c>
      <c r="S208" s="44">
        <v>3</v>
      </c>
      <c r="T208" s="47">
        <f>IF(O185=5, N210, O210)</f>
        <v>17</v>
      </c>
      <c r="U208" s="44" t="str">
        <f>P210</f>
        <v>S  ≥  S₂</v>
      </c>
      <c r="V208" s="36"/>
      <c r="X208" s="36"/>
      <c r="Z208" s="36"/>
    </row>
    <row r="209" spans="1:26" s="31" customFormat="1" ht="15.95" hidden="1" customHeight="1" thickBot="1" x14ac:dyDescent="0.2">
      <c r="A209" s="8"/>
      <c r="B209" s="20" t="s">
        <v>381</v>
      </c>
      <c r="C209" s="4" t="s">
        <v>44</v>
      </c>
      <c r="D209" s="8">
        <f>T210</f>
        <v>12.6</v>
      </c>
      <c r="E209" s="13" t="s">
        <v>232</v>
      </c>
      <c r="F209" s="8"/>
      <c r="G209" s="8"/>
      <c r="H209" s="8"/>
      <c r="I209" s="8"/>
      <c r="J209" s="8"/>
      <c r="K209" s="8"/>
      <c r="L209" s="8"/>
      <c r="M209" s="8"/>
      <c r="N209" s="42">
        <v>115</v>
      </c>
      <c r="O209" s="42">
        <v>93</v>
      </c>
      <c r="P209" s="21" t="s">
        <v>352</v>
      </c>
      <c r="Q209" s="39" t="s">
        <v>353</v>
      </c>
      <c r="V209" s="36"/>
      <c r="X209" s="36"/>
      <c r="Z209" s="36"/>
    </row>
    <row r="210" spans="1:26" s="31" customFormat="1" ht="15.95" hidden="1" customHeight="1" thickBot="1" x14ac:dyDescent="0.2">
      <c r="A210" s="8"/>
      <c r="B210" s="22"/>
      <c r="C210" s="4" t="s">
        <v>44</v>
      </c>
      <c r="D210" s="13">
        <f>D209*6.894757</f>
        <v>86.873938199999998</v>
      </c>
      <c r="E210" s="13" t="s">
        <v>561</v>
      </c>
      <c r="F210" s="8"/>
      <c r="G210" s="8"/>
      <c r="H210" s="8"/>
      <c r="I210" s="8"/>
      <c r="J210" s="8"/>
      <c r="K210" s="8"/>
      <c r="L210" s="8"/>
      <c r="M210" s="8"/>
      <c r="N210" s="48">
        <f>986/D208</f>
        <v>17</v>
      </c>
      <c r="O210" s="48">
        <f>1298/D208</f>
        <v>22.379310344827587</v>
      </c>
      <c r="P210" s="21" t="s">
        <v>355</v>
      </c>
      <c r="Q210" s="44">
        <f>D208</f>
        <v>58</v>
      </c>
      <c r="S210" s="89">
        <f>IF(Q210&lt;=Q207,1,IF(AND(Q210&gt;Q207,Q210&lt;=R207),2,3))</f>
        <v>1</v>
      </c>
      <c r="T210" s="49">
        <f>VLOOKUP(S210, S206:T208, 2, FALSE)</f>
        <v>12.6</v>
      </c>
      <c r="U210" s="50" t="str">
        <f>VLOOKUP(S210,S206:U208, 3, FALSE)</f>
        <v>S  ≤  S₁</v>
      </c>
      <c r="V210" s="36"/>
      <c r="X210" s="36"/>
      <c r="Z210" s="36"/>
    </row>
    <row r="211" spans="1:26" s="31" customFormat="1" ht="15.95" hidden="1" customHeight="1" x14ac:dyDescent="0.15">
      <c r="A211" s="8"/>
      <c r="B211" s="8"/>
      <c r="C211" s="8"/>
      <c r="D211" s="13"/>
      <c r="E211" s="13"/>
      <c r="F211" s="8"/>
      <c r="G211" s="8"/>
      <c r="H211" s="8"/>
      <c r="I211" s="8"/>
      <c r="J211" s="8"/>
      <c r="K211" s="8"/>
      <c r="L211" s="8"/>
      <c r="M211" s="8"/>
      <c r="N211" s="21"/>
      <c r="V211" s="36"/>
      <c r="X211" s="36"/>
      <c r="Z211" s="36"/>
    </row>
    <row r="212" spans="1:26" s="31" customFormat="1" ht="15.95" hidden="1" customHeight="1" x14ac:dyDescent="0.15">
      <c r="A212" s="8"/>
      <c r="B212" s="19" t="s">
        <v>382</v>
      </c>
      <c r="C212" s="8"/>
      <c r="D212" s="13"/>
      <c r="E212" s="3" t="s">
        <v>383</v>
      </c>
      <c r="F212" s="8" t="s">
        <v>384</v>
      </c>
      <c r="G212" s="8"/>
      <c r="H212" s="8"/>
      <c r="I212" s="8"/>
      <c r="J212" s="8"/>
      <c r="K212" s="8"/>
      <c r="L212" s="8"/>
      <c r="M212" s="8"/>
      <c r="N212" s="21"/>
      <c r="V212" s="36"/>
      <c r="X212" s="36"/>
      <c r="Z212" s="36"/>
    </row>
    <row r="213" spans="1:26" s="31" customFormat="1" ht="15.95" hidden="1" customHeight="1" x14ac:dyDescent="0.15">
      <c r="A213" s="8"/>
      <c r="B213" s="19"/>
      <c r="C213" s="8"/>
      <c r="D213" s="13"/>
      <c r="E213" s="13"/>
      <c r="F213" s="8"/>
      <c r="G213" s="8"/>
      <c r="H213" s="8"/>
      <c r="I213" s="8"/>
      <c r="J213" s="8"/>
      <c r="K213" s="8"/>
      <c r="L213" s="8"/>
      <c r="M213" s="8"/>
      <c r="N213" s="21"/>
      <c r="V213" s="36"/>
      <c r="X213" s="36"/>
      <c r="Z213" s="36"/>
    </row>
    <row r="214" spans="1:26" s="31" customFormat="1" ht="15.95" hidden="1" customHeight="1" x14ac:dyDescent="0.15">
      <c r="A214" s="8"/>
      <c r="B214" s="20" t="s">
        <v>180</v>
      </c>
      <c r="C214" s="4" t="s">
        <v>44</v>
      </c>
      <c r="D214" s="783" t="s">
        <v>625</v>
      </c>
      <c r="E214" s="783"/>
      <c r="F214" s="8"/>
      <c r="G214" s="8"/>
      <c r="H214" s="8"/>
      <c r="I214" s="8"/>
      <c r="J214" s="8"/>
      <c r="K214" s="8"/>
      <c r="L214" s="8"/>
      <c r="M214" s="8"/>
      <c r="N214" s="21"/>
      <c r="V214" s="36"/>
      <c r="X214" s="36"/>
      <c r="Z214" s="36"/>
    </row>
    <row r="215" spans="1:26" s="31" customFormat="1" ht="15.95" hidden="1" customHeight="1" x14ac:dyDescent="0.15">
      <c r="A215" s="8"/>
      <c r="B215" s="22"/>
      <c r="C215" s="4" t="s">
        <v>44</v>
      </c>
      <c r="D215" s="7">
        <f>0.85*(D14*J43)/D44</f>
        <v>0</v>
      </c>
      <c r="E215" s="13" t="s">
        <v>561</v>
      </c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V215" s="36"/>
      <c r="X215" s="36"/>
      <c r="Z215" s="36"/>
    </row>
    <row r="216" spans="1:26" s="31" customFormat="1" ht="15.95" hidden="1" customHeight="1" x14ac:dyDescent="0.15">
      <c r="A216" s="8"/>
      <c r="B216" s="20" t="s">
        <v>184</v>
      </c>
      <c r="C216" s="4" t="s">
        <v>44</v>
      </c>
      <c r="D216" s="6" t="s">
        <v>387</v>
      </c>
      <c r="E216" s="132"/>
      <c r="F216" s="20"/>
      <c r="H216" s="8"/>
      <c r="I216" s="8"/>
      <c r="J216" s="8"/>
      <c r="K216" s="8"/>
      <c r="L216" s="8"/>
      <c r="M216" s="8"/>
      <c r="N216" s="8"/>
      <c r="O216" s="8"/>
      <c r="P216" s="8"/>
      <c r="Q216" s="8"/>
      <c r="V216" s="36"/>
      <c r="X216" s="36"/>
      <c r="Z216" s="36"/>
    </row>
    <row r="217" spans="1:26" s="31" customFormat="1" ht="15.95" hidden="1" customHeight="1" x14ac:dyDescent="0.15">
      <c r="A217" s="8"/>
      <c r="B217" s="27"/>
      <c r="C217" s="4" t="s">
        <v>44</v>
      </c>
      <c r="D217" s="51">
        <f>MIN(D194,D202,D210)</f>
        <v>65.334717332000011</v>
      </c>
      <c r="E217" s="13" t="s">
        <v>561</v>
      </c>
      <c r="F217" s="8"/>
      <c r="G217" s="22"/>
      <c r="H217" s="27"/>
      <c r="I217" s="22"/>
      <c r="J217" s="8"/>
      <c r="K217" s="8"/>
      <c r="L217" s="8"/>
      <c r="M217" s="8"/>
      <c r="N217" s="8"/>
      <c r="O217" s="8"/>
      <c r="P217" s="8"/>
      <c r="Q217" s="8"/>
      <c r="V217" s="36"/>
      <c r="X217" s="36"/>
      <c r="Z217" s="36"/>
    </row>
    <row r="218" spans="1:26" s="31" customFormat="1" ht="15.95" hidden="1" customHeight="1" x14ac:dyDescent="0.15">
      <c r="A218" s="8"/>
      <c r="C218" s="4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V218" s="36"/>
      <c r="X218" s="36"/>
      <c r="Z218" s="36"/>
    </row>
    <row r="219" spans="1:26" ht="15.95" hidden="1" customHeight="1" x14ac:dyDescent="0.15"/>
    <row r="220" spans="1:26" ht="15.95" hidden="1" customHeight="1" x14ac:dyDescent="0.15">
      <c r="B220" s="19" t="s">
        <v>187</v>
      </c>
    </row>
    <row r="221" spans="1:26" ht="15.95" hidden="1" customHeight="1" x14ac:dyDescent="0.15"/>
    <row r="222" spans="1:26" ht="15.95" hidden="1" customHeight="1" x14ac:dyDescent="0.15">
      <c r="B222" s="20" t="s">
        <v>404</v>
      </c>
      <c r="C222" s="4" t="s">
        <v>44</v>
      </c>
      <c r="D222" s="22">
        <f>D215/D217</f>
        <v>0</v>
      </c>
      <c r="E222" s="23" t="str">
        <f>IF(D222&gt;F222,"&gt;","&lt;")</f>
        <v>&lt;</v>
      </c>
      <c r="F222" s="3">
        <v>1</v>
      </c>
      <c r="G222" s="91" t="str">
        <f>IF(D222&lt;F222,"O.K.","N.G.")</f>
        <v>O.K.</v>
      </c>
    </row>
    <row r="223" spans="1:26" ht="15.95" hidden="1" customHeight="1" x14ac:dyDescent="0.15">
      <c r="B223" s="52"/>
      <c r="D223" s="27"/>
    </row>
    <row r="224" spans="1:26" ht="15.95" hidden="1" customHeight="1" x14ac:dyDescent="0.15">
      <c r="A224" s="27"/>
      <c r="B224" s="27"/>
      <c r="C224" s="27"/>
      <c r="D224" s="27"/>
      <c r="E224" s="27"/>
      <c r="F224" s="33"/>
      <c r="G224" s="27"/>
      <c r="H224" s="27"/>
      <c r="I224" s="27"/>
      <c r="J224" s="27"/>
      <c r="K224" s="27"/>
      <c r="L224" s="27"/>
    </row>
    <row r="225" spans="1:26" ht="15.95" hidden="1" customHeight="1" x14ac:dyDescent="0.1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4"/>
    </row>
    <row r="226" spans="1:26" ht="15.95" hidden="1" customHeight="1" x14ac:dyDescent="0.1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4"/>
    </row>
    <row r="227" spans="1:26" ht="15.95" hidden="1" customHeight="1" x14ac:dyDescent="0.15">
      <c r="B227" s="33"/>
      <c r="D227" s="27"/>
    </row>
    <row r="228" spans="1:26" ht="15.95" hidden="1" customHeight="1" x14ac:dyDescent="0.15">
      <c r="B228" s="33"/>
      <c r="D228" s="27"/>
    </row>
    <row r="229" spans="1:26" ht="15.95" hidden="1" customHeight="1" x14ac:dyDescent="0.15">
      <c r="B229" s="33"/>
      <c r="D229" s="27"/>
    </row>
    <row r="230" spans="1:26" ht="15.95" hidden="1" customHeight="1" x14ac:dyDescent="0.15">
      <c r="B230" s="33"/>
      <c r="D230" s="27"/>
    </row>
    <row r="231" spans="1:26" ht="15.95" hidden="1" customHeight="1" x14ac:dyDescent="0.15">
      <c r="B231" s="61" t="s">
        <v>189</v>
      </c>
      <c r="V231" s="8"/>
      <c r="X231" s="8"/>
      <c r="Z231" s="8"/>
    </row>
    <row r="232" spans="1:26" ht="15.95" hidden="1" customHeight="1" x14ac:dyDescent="0.15">
      <c r="B232" s="33"/>
      <c r="D232" s="27"/>
      <c r="V232" s="8"/>
      <c r="X232" s="8"/>
      <c r="Z232" s="8"/>
    </row>
    <row r="233" spans="1:26" s="2" customFormat="1" ht="15.95" hidden="1" customHeight="1" x14ac:dyDescent="0.15">
      <c r="A233" s="3"/>
      <c r="B233" s="27" t="s">
        <v>457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21"/>
      <c r="O233" s="21"/>
      <c r="P233" s="30"/>
    </row>
    <row r="234" spans="1:26" ht="15.95" hidden="1" customHeight="1" x14ac:dyDescent="0.15">
      <c r="B234" s="61"/>
      <c r="D234" s="22"/>
      <c r="O234" s="102"/>
      <c r="Q234" s="102"/>
      <c r="S234" s="102"/>
      <c r="U234" s="102">
        <v>2.2999999999999998</v>
      </c>
      <c r="V234" s="8"/>
      <c r="X234" s="8"/>
      <c r="Z234" s="8"/>
    </row>
    <row r="235" spans="1:26" ht="15.95" hidden="1" customHeight="1" x14ac:dyDescent="0.15">
      <c r="B235" s="20" t="s">
        <v>458</v>
      </c>
      <c r="C235" s="4" t="s">
        <v>4</v>
      </c>
      <c r="D235" s="147">
        <f>(D14*J44)</f>
        <v>0</v>
      </c>
      <c r="E235" s="27" t="s">
        <v>563</v>
      </c>
      <c r="G235" s="4" t="s">
        <v>9</v>
      </c>
      <c r="H235" s="20" t="s">
        <v>182</v>
      </c>
      <c r="V235" s="8"/>
      <c r="X235" s="8"/>
      <c r="Z235" s="8"/>
    </row>
    <row r="236" spans="1:26" ht="15.95" hidden="1" customHeight="1" x14ac:dyDescent="0.15">
      <c r="B236" s="19"/>
      <c r="V236" s="8"/>
      <c r="X236" s="8"/>
      <c r="Z236" s="8"/>
    </row>
    <row r="237" spans="1:26" ht="15.95" hidden="1" customHeight="1" x14ac:dyDescent="0.15">
      <c r="B237" s="20" t="s">
        <v>179</v>
      </c>
      <c r="C237" s="4" t="s">
        <v>4</v>
      </c>
      <c r="D237" s="147">
        <f>F44</f>
        <v>15503.573333333332</v>
      </c>
      <c r="E237" s="8" t="s">
        <v>585</v>
      </c>
      <c r="G237" s="4" t="s">
        <v>9</v>
      </c>
      <c r="H237" s="20" t="s">
        <v>183</v>
      </c>
      <c r="V237" s="8"/>
      <c r="X237" s="8"/>
      <c r="Z237" s="8"/>
    </row>
    <row r="238" spans="1:26" ht="15.95" hidden="1" customHeight="1" x14ac:dyDescent="0.15">
      <c r="V238" s="8"/>
      <c r="X238" s="8"/>
      <c r="Z238" s="8"/>
    </row>
    <row r="239" spans="1:26" ht="15.95" hidden="1" customHeight="1" x14ac:dyDescent="0.15">
      <c r="C239" s="4"/>
      <c r="V239" s="8"/>
      <c r="X239" s="8"/>
      <c r="Z239" s="8"/>
    </row>
    <row r="240" spans="1:26" ht="15.95" hidden="1" customHeight="1" x14ac:dyDescent="0.15">
      <c r="B240" s="19" t="s">
        <v>177</v>
      </c>
      <c r="D240" s="12"/>
      <c r="V240" s="8"/>
      <c r="X240" s="8"/>
      <c r="Z240" s="8"/>
    </row>
    <row r="241" spans="2:26" ht="15.95" hidden="1" customHeight="1" x14ac:dyDescent="0.15">
      <c r="V241" s="8"/>
      <c r="X241" s="8"/>
      <c r="Z241" s="8"/>
    </row>
    <row r="242" spans="2:26" ht="15.95" hidden="1" customHeight="1" x14ac:dyDescent="0.15">
      <c r="B242" s="20" t="s">
        <v>459</v>
      </c>
      <c r="C242" s="4" t="s">
        <v>4</v>
      </c>
      <c r="D242" s="20" t="s">
        <v>625</v>
      </c>
      <c r="V242" s="8"/>
      <c r="X242" s="8"/>
      <c r="Z242" s="8"/>
    </row>
    <row r="243" spans="2:26" ht="15.95" hidden="1" customHeight="1" x14ac:dyDescent="0.15">
      <c r="C243" s="4" t="s">
        <v>4</v>
      </c>
      <c r="D243" s="13">
        <f>0.85*(D235/D237)</f>
        <v>0</v>
      </c>
      <c r="E243" s="13" t="s">
        <v>561</v>
      </c>
      <c r="V243" s="8"/>
      <c r="X243" s="8"/>
      <c r="Z243" s="8"/>
    </row>
    <row r="244" spans="2:26" ht="15.95" hidden="1" customHeight="1" x14ac:dyDescent="0.15">
      <c r="V244" s="8"/>
      <c r="X244" s="8"/>
      <c r="Z244" s="8"/>
    </row>
    <row r="245" spans="2:26" ht="15.95" hidden="1" customHeight="1" x14ac:dyDescent="0.15">
      <c r="V245" s="8"/>
      <c r="X245" s="8"/>
      <c r="Z245" s="8"/>
    </row>
    <row r="246" spans="2:26" ht="15.95" hidden="1" customHeight="1" x14ac:dyDescent="0.15">
      <c r="B246" s="19" t="s">
        <v>178</v>
      </c>
      <c r="V246" s="8"/>
      <c r="X246" s="8"/>
      <c r="Z246" s="8"/>
    </row>
    <row r="247" spans="2:26" ht="15.95" hidden="1" customHeight="1" x14ac:dyDescent="0.15">
      <c r="B247" s="19"/>
      <c r="G247" s="4"/>
      <c r="H247" s="20"/>
      <c r="V247" s="8"/>
      <c r="X247" s="8"/>
      <c r="Z247" s="8"/>
    </row>
    <row r="248" spans="2:26" ht="15.95" hidden="1" customHeight="1" x14ac:dyDescent="0.15">
      <c r="B248" s="20" t="s">
        <v>185</v>
      </c>
      <c r="C248" s="4" t="s">
        <v>4</v>
      </c>
      <c r="D248" s="13">
        <v>275</v>
      </c>
      <c r="E248" s="13" t="s">
        <v>561</v>
      </c>
      <c r="G248" s="4" t="s">
        <v>9</v>
      </c>
      <c r="H248" s="20" t="s">
        <v>842</v>
      </c>
      <c r="V248" s="8"/>
      <c r="X248" s="8"/>
      <c r="Z248" s="8"/>
    </row>
    <row r="249" spans="2:26" ht="15.95" hidden="1" customHeight="1" x14ac:dyDescent="0.15">
      <c r="B249" s="20" t="s">
        <v>365</v>
      </c>
      <c r="C249" s="4" t="s">
        <v>4</v>
      </c>
      <c r="D249" s="64" t="s">
        <v>843</v>
      </c>
      <c r="E249" s="20"/>
      <c r="V249" s="8"/>
      <c r="X249" s="8"/>
      <c r="Z249" s="8"/>
    </row>
    <row r="250" spans="2:26" ht="15.95" hidden="1" customHeight="1" x14ac:dyDescent="0.15">
      <c r="B250" s="22"/>
      <c r="C250" s="4" t="s">
        <v>4</v>
      </c>
      <c r="D250" s="13">
        <f>0.66*D248</f>
        <v>181.5</v>
      </c>
      <c r="E250" s="13" t="s">
        <v>561</v>
      </c>
      <c r="V250" s="8"/>
      <c r="X250" s="8"/>
      <c r="Z250" s="8"/>
    </row>
    <row r="251" spans="2:26" ht="15.95" hidden="1" customHeight="1" x14ac:dyDescent="0.15">
      <c r="V251" s="8"/>
      <c r="X251" s="8"/>
      <c r="Z251" s="8"/>
    </row>
    <row r="252" spans="2:26" ht="15.95" hidden="1" customHeight="1" x14ac:dyDescent="0.15">
      <c r="V252" s="8"/>
      <c r="X252" s="8"/>
      <c r="Z252" s="8"/>
    </row>
    <row r="253" spans="2:26" ht="15.95" hidden="1" customHeight="1" x14ac:dyDescent="0.15">
      <c r="B253" s="19" t="s">
        <v>187</v>
      </c>
      <c r="V253" s="8"/>
      <c r="X253" s="8"/>
      <c r="Z253" s="8"/>
    </row>
    <row r="254" spans="2:26" ht="15.95" hidden="1" customHeight="1" x14ac:dyDescent="0.15">
      <c r="B254" s="19"/>
      <c r="V254" s="8"/>
      <c r="X254" s="8"/>
      <c r="Z254" s="8"/>
    </row>
    <row r="255" spans="2:26" ht="15.95" hidden="1" customHeight="1" x14ac:dyDescent="0.15">
      <c r="B255" s="20" t="s">
        <v>188</v>
      </c>
      <c r="C255" s="4" t="s">
        <v>4</v>
      </c>
      <c r="D255" s="22">
        <f>D243/D250</f>
        <v>0</v>
      </c>
      <c r="E255" s="23" t="str">
        <f>IF(D255&gt;F255,"&gt;","&lt;")</f>
        <v>&lt;</v>
      </c>
      <c r="F255" s="3">
        <v>1</v>
      </c>
      <c r="G255" s="91" t="str">
        <f>IF(D255&lt;F255,"O.K.","N.G.")</f>
        <v>O.K.</v>
      </c>
      <c r="V255" s="8"/>
      <c r="X255" s="8"/>
      <c r="Z255" s="8"/>
    </row>
    <row r="256" spans="2:26" ht="15.95" hidden="1" customHeight="1" x14ac:dyDescent="0.15">
      <c r="C256" s="103"/>
      <c r="D256" s="12"/>
      <c r="F256" s="12"/>
      <c r="V256" s="8"/>
      <c r="X256" s="8"/>
      <c r="Z256" s="8"/>
    </row>
    <row r="257" spans="2:26" ht="15.95" hidden="1" customHeight="1" x14ac:dyDescent="0.15">
      <c r="C257" s="103"/>
      <c r="D257" s="12"/>
      <c r="F257" s="12"/>
      <c r="V257" s="8"/>
      <c r="X257" s="8"/>
      <c r="Z257" s="8"/>
    </row>
    <row r="258" spans="2:26" ht="15.95" hidden="1" customHeight="1" x14ac:dyDescent="0.15">
      <c r="B258" s="24" t="s">
        <v>190</v>
      </c>
    </row>
    <row r="259" spans="2:26" ht="15.95" hidden="1" customHeight="1" x14ac:dyDescent="0.15"/>
    <row r="260" spans="2:26" ht="15.95" hidden="1" customHeight="1" x14ac:dyDescent="0.15">
      <c r="B260" s="19" t="s">
        <v>192</v>
      </c>
    </row>
    <row r="261" spans="2:26" ht="15.95" hidden="1" customHeight="1" x14ac:dyDescent="0.15">
      <c r="B261" s="19"/>
    </row>
    <row r="262" spans="2:26" ht="15.95" hidden="1" customHeight="1" x14ac:dyDescent="0.15">
      <c r="B262" s="62" t="s">
        <v>165</v>
      </c>
      <c r="C262" s="4" t="s">
        <v>4</v>
      </c>
      <c r="D262" s="8">
        <f>D16</f>
        <v>0</v>
      </c>
      <c r="E262" s="13" t="s">
        <v>583</v>
      </c>
    </row>
    <row r="263" spans="2:26" ht="15.95" hidden="1" customHeight="1" x14ac:dyDescent="0.15"/>
    <row r="264" spans="2:26" ht="15.95" hidden="1" customHeight="1" x14ac:dyDescent="0.15"/>
    <row r="265" spans="2:26" ht="15.95" hidden="1" customHeight="1" x14ac:dyDescent="0.15">
      <c r="B265" s="19" t="s">
        <v>191</v>
      </c>
      <c r="E265" s="26" t="s">
        <v>195</v>
      </c>
    </row>
    <row r="266" spans="2:26" ht="15.95" hidden="1" customHeight="1" x14ac:dyDescent="0.15">
      <c r="B266" s="19"/>
    </row>
    <row r="267" spans="2:26" ht="15.95" hidden="1" customHeight="1" x14ac:dyDescent="0.15">
      <c r="B267" s="62" t="s">
        <v>137</v>
      </c>
      <c r="C267" s="4" t="s">
        <v>4</v>
      </c>
      <c r="D267" s="142">
        <f>D9</f>
        <v>5000</v>
      </c>
      <c r="E267" s="8" t="str">
        <f>IF(D267&gt;4110,"mm      &gt;     4110 mm","mm     ≤     4110 mm")</f>
        <v>mm      &gt;     4110 mm</v>
      </c>
      <c r="M267" s="27" t="s">
        <v>196</v>
      </c>
      <c r="N267" s="25">
        <f>D267/240+6.35</f>
        <v>27.18333333333333</v>
      </c>
    </row>
    <row r="268" spans="2:26" ht="15.95" hidden="1" customHeight="1" x14ac:dyDescent="0.15">
      <c r="B268" s="62" t="s">
        <v>193</v>
      </c>
      <c r="C268" s="4" t="s">
        <v>4</v>
      </c>
      <c r="D268" s="152">
        <f>D267</f>
        <v>5000</v>
      </c>
      <c r="E268" s="19" t="str">
        <f>IF(D267&lt;4110,"mm      /     175","mm      /      240 + 6.35 mm ")</f>
        <v xml:space="preserve">mm      /      240 + 6.35 mm </v>
      </c>
      <c r="M268" s="27" t="s">
        <v>197</v>
      </c>
      <c r="N268" s="25">
        <f>D267/175</f>
        <v>28.571428571428573</v>
      </c>
    </row>
    <row r="269" spans="2:26" ht="15.95" hidden="1" customHeight="1" x14ac:dyDescent="0.15">
      <c r="B269" s="22"/>
      <c r="C269" s="4" t="s">
        <v>4</v>
      </c>
      <c r="D269" s="22">
        <f>IF(D267&gt;4110,N267,N268)</f>
        <v>27.18333333333333</v>
      </c>
      <c r="E269" s="8" t="s">
        <v>572</v>
      </c>
    </row>
    <row r="270" spans="2:26" ht="15.95" hidden="1" customHeight="1" x14ac:dyDescent="0.15"/>
    <row r="271" spans="2:26" ht="15.95" hidden="1" customHeight="1" x14ac:dyDescent="0.15"/>
    <row r="272" spans="2:26" ht="15.95" hidden="1" customHeight="1" x14ac:dyDescent="0.15">
      <c r="B272" s="19" t="s">
        <v>198</v>
      </c>
    </row>
    <row r="273" spans="1:26" s="4" customFormat="1" ht="15.95" hidden="1" customHeight="1" x14ac:dyDescent="0.15">
      <c r="A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O273" s="8"/>
      <c r="P273" s="8"/>
      <c r="Q273" s="8"/>
      <c r="R273" s="8"/>
      <c r="S273" s="8"/>
      <c r="T273" s="8"/>
      <c r="U273" s="8"/>
      <c r="V273" s="22"/>
      <c r="X273" s="22"/>
      <c r="Z273" s="22"/>
    </row>
    <row r="274" spans="1:26" s="4" customFormat="1" ht="15.95" hidden="1" customHeight="1" x14ac:dyDescent="0.15">
      <c r="A274" s="8"/>
      <c r="B274" s="20" t="s">
        <v>405</v>
      </c>
      <c r="C274" s="4" t="s">
        <v>44</v>
      </c>
      <c r="D274" s="22">
        <f>D262/(D269)</f>
        <v>0</v>
      </c>
      <c r="E274" s="23" t="str">
        <f>IF(D274&gt;F274,"&gt;","&lt;")</f>
        <v>&lt;</v>
      </c>
      <c r="F274" s="3">
        <v>1</v>
      </c>
      <c r="G274" s="91" t="str">
        <f>IF(D274&lt;F274,"O.K.","N.G.")</f>
        <v>O.K.</v>
      </c>
      <c r="I274" s="27"/>
      <c r="J274" s="27"/>
      <c r="K274" s="27"/>
      <c r="L274" s="27"/>
      <c r="M274" s="27"/>
      <c r="O274" s="8"/>
      <c r="P274" s="8"/>
      <c r="Q274" s="8"/>
      <c r="R274" s="8"/>
      <c r="S274" s="8"/>
      <c r="T274" s="8"/>
      <c r="U274" s="8"/>
      <c r="V274" s="22"/>
      <c r="X274" s="22"/>
      <c r="Z274" s="22"/>
    </row>
    <row r="275" spans="1:26" ht="15.95" hidden="1" customHeight="1" x14ac:dyDescent="0.15"/>
    <row r="276" spans="1:26" ht="15.95" hidden="1" customHeight="1" x14ac:dyDescent="0.15"/>
  </sheetData>
  <sheetProtection algorithmName="SHA-512" hashValue="Rr4NsTSyxgrhhvQC7b/1T8Ei+EaotIYcXXDjI3+pV0+TMKrX5iRenxCVTL5I3oRwrZpK4rAU3bn3K35plTnXFw==" saltValue="cTW+KhOSlSiBRVbSooyh+w==" spinCount="100000" sheet="1" objects="1" scenarios="1" selectLockedCells="1"/>
  <protectedRanges>
    <protectedRange sqref="D7:D10" name="범위1_2_1"/>
    <protectedRange sqref="D12" name="범위1_2_2"/>
  </protectedRanges>
  <mergeCells count="11">
    <mergeCell ref="M6:N6"/>
    <mergeCell ref="Q205:R205"/>
    <mergeCell ref="S205:U205"/>
    <mergeCell ref="D214:E214"/>
    <mergeCell ref="Q188:R188"/>
    <mergeCell ref="S188:U188"/>
    <mergeCell ref="Q197:R197"/>
    <mergeCell ref="S197:U197"/>
    <mergeCell ref="N13:N14"/>
    <mergeCell ref="O13:O14"/>
    <mergeCell ref="B46:K46"/>
  </mergeCells>
  <phoneticPr fontId="1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A55C-F3D5-4017-931A-A6DB4A3568B4}">
  <sheetPr codeName="Sheet10">
    <tabColor rgb="FF0000FF"/>
  </sheetPr>
  <dimension ref="A1:Y304"/>
  <sheetViews>
    <sheetView view="pageBreakPreview" zoomScale="75" zoomScaleSheetLayoutView="75" workbookViewId="0"/>
  </sheetViews>
  <sheetFormatPr defaultColWidth="5.77734375" defaultRowHeight="15" customHeight="1" x14ac:dyDescent="0.15"/>
  <cols>
    <col min="1" max="1" width="2.77734375" style="166" customWidth="1"/>
    <col min="2" max="10" width="8.109375" style="166" customWidth="1"/>
    <col min="11" max="11" width="2.77734375" style="166" customWidth="1"/>
    <col min="12" max="12" width="6.77734375" style="166" customWidth="1"/>
    <col min="13" max="13" width="8.77734375" style="168" customWidth="1"/>
    <col min="14" max="14" width="9.6640625" style="166" customWidth="1"/>
    <col min="15" max="15" width="11.77734375" style="166" customWidth="1"/>
    <col min="16" max="16" width="6.77734375" style="166" customWidth="1"/>
    <col min="17" max="18" width="7.33203125" style="166" customWidth="1"/>
    <col min="19" max="19" width="6.77734375" style="166" customWidth="1"/>
    <col min="20" max="20" width="10.77734375" style="166" customWidth="1"/>
    <col min="21" max="21" width="6.77734375" style="166" customWidth="1"/>
    <col min="22" max="25" width="14.77734375" style="166" customWidth="1"/>
    <col min="26" max="29" width="20.77734375" style="166" customWidth="1"/>
    <col min="30" max="16384" width="5.77734375" style="166"/>
  </cols>
  <sheetData>
    <row r="1" spans="1:23" ht="15.95" customHeight="1" x14ac:dyDescent="0.15">
      <c r="A1" s="454" t="s">
        <v>1215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23" ht="15.95" customHeight="1" x14ac:dyDescent="0.1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23" ht="15.95" customHeight="1" x14ac:dyDescent="0.15">
      <c r="A3" s="167"/>
      <c r="B3" s="3" t="s">
        <v>845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Q3" s="196" t="s">
        <v>947</v>
      </c>
      <c r="R3" s="193" t="s">
        <v>948</v>
      </c>
      <c r="S3" s="177" t="s">
        <v>949</v>
      </c>
    </row>
    <row r="4" spans="1:23" ht="15.95" customHeight="1" x14ac:dyDescent="0.1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Q4" s="177">
        <v>12</v>
      </c>
      <c r="R4" s="706">
        <v>6</v>
      </c>
      <c r="S4" s="177" t="s">
        <v>952</v>
      </c>
    </row>
    <row r="5" spans="1:23" ht="15.95" customHeight="1" x14ac:dyDescent="0.15">
      <c r="A5" s="167"/>
      <c r="B5" s="173" t="s">
        <v>846</v>
      </c>
      <c r="C5" s="168" t="s">
        <v>767</v>
      </c>
      <c r="D5" s="26">
        <f>(SUMPRODUCT((M8:M10=M7)*(N7:O7=L7),N8:O10))</f>
        <v>0</v>
      </c>
      <c r="E5" s="167" t="s">
        <v>847</v>
      </c>
      <c r="H5" s="167" t="s">
        <v>848</v>
      </c>
      <c r="J5" s="167"/>
      <c r="K5" s="167"/>
      <c r="L5" s="167"/>
      <c r="N5" s="174"/>
      <c r="O5" s="167"/>
      <c r="Q5" s="177">
        <v>16</v>
      </c>
      <c r="R5" s="706">
        <v>10</v>
      </c>
      <c r="S5" s="177" t="s">
        <v>953</v>
      </c>
    </row>
    <row r="6" spans="1:23" ht="15.95" customHeight="1" x14ac:dyDescent="0.15">
      <c r="A6" s="167"/>
      <c r="B6" s="173" t="s">
        <v>849</v>
      </c>
      <c r="C6" s="168" t="s">
        <v>767</v>
      </c>
      <c r="D6" s="174">
        <v>69600</v>
      </c>
      <c r="E6" s="198" t="s">
        <v>850</v>
      </c>
      <c r="F6" s="174" t="s">
        <v>851</v>
      </c>
      <c r="G6" s="695">
        <v>5</v>
      </c>
      <c r="H6" s="167" t="s">
        <v>852</v>
      </c>
      <c r="J6" s="167"/>
      <c r="K6" s="167"/>
      <c r="L6" s="782" t="s">
        <v>651</v>
      </c>
      <c r="M6" s="782"/>
      <c r="N6" s="163"/>
      <c r="O6" s="164"/>
      <c r="Q6" s="177">
        <v>18</v>
      </c>
      <c r="R6" s="706">
        <v>12</v>
      </c>
      <c r="S6" s="177" t="s">
        <v>958</v>
      </c>
    </row>
    <row r="7" spans="1:23" ht="15.95" customHeight="1" x14ac:dyDescent="0.15">
      <c r="A7" s="167"/>
      <c r="B7" s="173" t="s">
        <v>853</v>
      </c>
      <c r="C7" s="168" t="s">
        <v>767</v>
      </c>
      <c r="D7" s="696">
        <v>24</v>
      </c>
      <c r="E7" s="175" t="s">
        <v>854</v>
      </c>
      <c r="H7" s="167" t="s">
        <v>855</v>
      </c>
      <c r="J7" s="168"/>
      <c r="L7" s="685" t="s">
        <v>649</v>
      </c>
      <c r="M7" s="686">
        <v>1</v>
      </c>
      <c r="N7" s="160" t="s">
        <v>649</v>
      </c>
      <c r="O7" s="160" t="s">
        <v>650</v>
      </c>
      <c r="Q7" s="177">
        <v>22</v>
      </c>
      <c r="R7" s="706">
        <v>10</v>
      </c>
      <c r="S7" s="177" t="s">
        <v>960</v>
      </c>
    </row>
    <row r="8" spans="1:23" ht="15.95" customHeight="1" x14ac:dyDescent="0.15">
      <c r="A8" s="167"/>
      <c r="B8" s="173" t="s">
        <v>856</v>
      </c>
      <c r="C8" s="168" t="s">
        <v>767</v>
      </c>
      <c r="D8" s="697">
        <v>4</v>
      </c>
      <c r="E8" s="175" t="s">
        <v>857</v>
      </c>
      <c r="H8" s="167" t="s">
        <v>858</v>
      </c>
      <c r="J8" s="168"/>
      <c r="L8" s="165" t="s">
        <v>557</v>
      </c>
      <c r="M8" s="161">
        <v>1</v>
      </c>
      <c r="N8" s="162" t="str">
        <f>'WIND LOAD'!$T$7</f>
        <v>-</v>
      </c>
      <c r="O8" s="162">
        <f>'WIND LOAD'!$U$7</f>
        <v>0.96</v>
      </c>
      <c r="Q8" s="177">
        <v>24</v>
      </c>
      <c r="R8" s="706">
        <v>12</v>
      </c>
      <c r="S8" s="177" t="s">
        <v>961</v>
      </c>
    </row>
    <row r="9" spans="1:23" ht="15.95" customHeight="1" x14ac:dyDescent="0.15">
      <c r="A9" s="167"/>
      <c r="B9" s="173" t="s">
        <v>859</v>
      </c>
      <c r="C9" s="168" t="s">
        <v>767</v>
      </c>
      <c r="D9" s="696">
        <v>1500</v>
      </c>
      <c r="E9" s="167" t="s">
        <v>780</v>
      </c>
      <c r="H9" s="167" t="s">
        <v>860</v>
      </c>
      <c r="J9" s="167"/>
      <c r="K9" s="167"/>
      <c r="L9" s="165" t="s">
        <v>558</v>
      </c>
      <c r="M9" s="161">
        <v>2</v>
      </c>
      <c r="N9" s="162" t="str">
        <f>'WIND LOAD'!$T$8</f>
        <v>-</v>
      </c>
      <c r="O9" s="162">
        <f>'WIND LOAD'!$U$8</f>
        <v>-0.82599999999999996</v>
      </c>
      <c r="Q9" s="177">
        <v>28</v>
      </c>
      <c r="R9" s="706">
        <v>16</v>
      </c>
      <c r="S9" s="177" t="s">
        <v>962</v>
      </c>
    </row>
    <row r="10" spans="1:23" ht="15.95" customHeight="1" x14ac:dyDescent="0.15">
      <c r="A10" s="167"/>
      <c r="B10" s="173" t="s">
        <v>861</v>
      </c>
      <c r="C10" s="168" t="s">
        <v>767</v>
      </c>
      <c r="D10" s="696">
        <v>650</v>
      </c>
      <c r="E10" s="167" t="s">
        <v>780</v>
      </c>
      <c r="H10" s="167" t="s">
        <v>862</v>
      </c>
      <c r="J10" s="167"/>
      <c r="K10" s="167"/>
      <c r="L10" s="165" t="s">
        <v>559</v>
      </c>
      <c r="M10" s="161">
        <v>3</v>
      </c>
      <c r="N10" s="162" t="str">
        <f>'WIND LOAD'!$T$9</f>
        <v>-</v>
      </c>
      <c r="O10" s="162">
        <f>'WIND LOAD'!$U$9</f>
        <v>-0.98899999999999999</v>
      </c>
    </row>
    <row r="11" spans="1:23" ht="15.95" customHeight="1" x14ac:dyDescent="0.15">
      <c r="A11" s="167"/>
      <c r="B11" s="173" t="s">
        <v>863</v>
      </c>
      <c r="C11" s="168" t="s">
        <v>767</v>
      </c>
      <c r="D11" s="698">
        <v>1700</v>
      </c>
      <c r="E11" s="167" t="s">
        <v>780</v>
      </c>
      <c r="H11" s="167"/>
      <c r="J11" s="167"/>
      <c r="K11" s="167"/>
      <c r="L11" s="167"/>
      <c r="M11" s="167"/>
      <c r="N11" s="167"/>
      <c r="O11" s="167"/>
      <c r="R11" s="64"/>
    </row>
    <row r="12" spans="1:23" ht="15.95" customHeight="1" x14ac:dyDescent="0.15">
      <c r="A12" s="167"/>
      <c r="B12" s="173" t="s">
        <v>864</v>
      </c>
      <c r="C12" s="168" t="s">
        <v>767</v>
      </c>
      <c r="D12" s="270">
        <f>D84</f>
        <v>59472.796674375</v>
      </c>
      <c r="E12" s="167" t="s">
        <v>1078</v>
      </c>
      <c r="F12" s="205" t="s">
        <v>865</v>
      </c>
      <c r="H12" s="167" t="s">
        <v>866</v>
      </c>
      <c r="J12" s="167"/>
      <c r="K12" s="167"/>
      <c r="L12" s="167"/>
      <c r="M12" s="167"/>
      <c r="N12" s="167"/>
      <c r="O12" s="167"/>
      <c r="R12" s="64" t="s">
        <v>200</v>
      </c>
      <c r="S12" s="8">
        <f>S27*U27</f>
        <v>60</v>
      </c>
      <c r="T12" s="64" t="s">
        <v>201</v>
      </c>
      <c r="U12" s="8">
        <f>U27/2</f>
        <v>15</v>
      </c>
      <c r="V12" s="64" t="s">
        <v>202</v>
      </c>
      <c r="W12" s="8">
        <f>S26+U25/2</f>
        <v>30</v>
      </c>
    </row>
    <row r="13" spans="1:23" ht="15.95" customHeight="1" thickBot="1" x14ac:dyDescent="0.2">
      <c r="A13" s="167"/>
      <c r="B13" s="173" t="s">
        <v>867</v>
      </c>
      <c r="C13" s="168" t="s">
        <v>767</v>
      </c>
      <c r="D13" s="270">
        <f>D132</f>
        <v>0</v>
      </c>
      <c r="E13" s="167" t="str">
        <f>E12</f>
        <v>N.mm</v>
      </c>
      <c r="F13" s="205" t="s">
        <v>865</v>
      </c>
      <c r="H13" s="167"/>
      <c r="J13" s="167"/>
      <c r="K13" s="167"/>
      <c r="L13" s="167"/>
      <c r="M13" s="167"/>
      <c r="N13" s="167"/>
      <c r="O13" s="167"/>
      <c r="R13" s="64" t="s">
        <v>203</v>
      </c>
      <c r="S13" s="8">
        <f>U25*S25</f>
        <v>112</v>
      </c>
      <c r="T13" s="64" t="s">
        <v>204</v>
      </c>
      <c r="U13" s="8">
        <f>U27+S25/2</f>
        <v>31</v>
      </c>
      <c r="V13" s="64" t="s">
        <v>205</v>
      </c>
      <c r="W13" s="8">
        <f>S26+U25/2</f>
        <v>30</v>
      </c>
    </row>
    <row r="14" spans="1:23" ht="15.95" customHeight="1" thickBot="1" x14ac:dyDescent="0.2">
      <c r="A14" s="167"/>
      <c r="B14" s="173" t="s">
        <v>868</v>
      </c>
      <c r="C14" s="168" t="s">
        <v>767</v>
      </c>
      <c r="D14" s="271">
        <f>D90</f>
        <v>0.47228377811926775</v>
      </c>
      <c r="E14" s="167" t="s">
        <v>780</v>
      </c>
      <c r="F14" s="205" t="s">
        <v>865</v>
      </c>
      <c r="H14" s="167" t="s">
        <v>869</v>
      </c>
      <c r="J14" s="272"/>
      <c r="K14" s="167"/>
      <c r="L14" s="167"/>
      <c r="M14" s="121" t="s">
        <v>333</v>
      </c>
      <c r="N14" s="122"/>
      <c r="O14" s="123"/>
      <c r="R14" s="64" t="s">
        <v>206</v>
      </c>
      <c r="S14" s="8">
        <f>U25*S25</f>
        <v>112</v>
      </c>
      <c r="T14" s="64" t="s">
        <v>207</v>
      </c>
      <c r="U14" s="8">
        <f>U27+(U26-S25)+S25/2</f>
        <v>149</v>
      </c>
      <c r="V14" s="64" t="s">
        <v>208</v>
      </c>
      <c r="W14" s="8">
        <f>S26+U25/2</f>
        <v>30</v>
      </c>
    </row>
    <row r="15" spans="1:23" ht="15.95" customHeight="1" x14ac:dyDescent="0.15">
      <c r="A15" s="167"/>
      <c r="B15" s="173" t="s">
        <v>870</v>
      </c>
      <c r="C15" s="168" t="s">
        <v>767</v>
      </c>
      <c r="D15" s="271">
        <f>D138</f>
        <v>0</v>
      </c>
      <c r="E15" s="167" t="s">
        <v>780</v>
      </c>
      <c r="F15" s="205" t="s">
        <v>865</v>
      </c>
      <c r="G15" s="167"/>
      <c r="I15" s="167"/>
      <c r="J15" s="272"/>
      <c r="K15" s="167"/>
      <c r="L15" s="167"/>
      <c r="M15" s="68" t="s">
        <v>57</v>
      </c>
      <c r="N15" s="687">
        <v>60</v>
      </c>
      <c r="O15" s="69" t="s">
        <v>572</v>
      </c>
      <c r="R15" s="64" t="s">
        <v>209</v>
      </c>
      <c r="S15" s="8">
        <f>U26*S26</f>
        <v>240</v>
      </c>
      <c r="T15" s="64" t="s">
        <v>210</v>
      </c>
      <c r="U15" s="8">
        <f>U27+U26/2</f>
        <v>90</v>
      </c>
      <c r="V15" s="64" t="s">
        <v>211</v>
      </c>
      <c r="W15" s="8">
        <f>S26/2</f>
        <v>1</v>
      </c>
    </row>
    <row r="16" spans="1:23" ht="15.95" customHeight="1" x14ac:dyDescent="0.15">
      <c r="A16" s="167"/>
      <c r="B16" s="167"/>
      <c r="C16" s="273"/>
      <c r="D16" s="273"/>
      <c r="E16" s="273"/>
      <c r="I16" s="167"/>
      <c r="J16" s="167"/>
      <c r="K16" s="167"/>
      <c r="L16" s="167"/>
      <c r="M16" s="55" t="s">
        <v>244</v>
      </c>
      <c r="N16" s="688">
        <v>120</v>
      </c>
      <c r="O16" s="70" t="s">
        <v>572</v>
      </c>
      <c r="R16" s="64" t="s">
        <v>212</v>
      </c>
      <c r="S16" s="8">
        <f>U26*S26</f>
        <v>240</v>
      </c>
      <c r="T16" s="64" t="s">
        <v>213</v>
      </c>
      <c r="U16" s="8">
        <f>U27+U26/2</f>
        <v>90</v>
      </c>
      <c r="V16" s="64" t="s">
        <v>214</v>
      </c>
      <c r="W16" s="8">
        <f>S26+U25+S26/2</f>
        <v>59</v>
      </c>
    </row>
    <row r="17" spans="1:23" ht="15.95" customHeight="1" x14ac:dyDescent="0.15">
      <c r="A17" s="167"/>
      <c r="B17" s="3" t="s">
        <v>871</v>
      </c>
      <c r="C17" s="274"/>
      <c r="D17" s="273"/>
      <c r="F17" s="205" t="s">
        <v>865</v>
      </c>
      <c r="J17" s="167"/>
      <c r="K17" s="167"/>
      <c r="L17" s="167"/>
      <c r="M17" s="55" t="s">
        <v>249</v>
      </c>
      <c r="N17" s="688">
        <v>30</v>
      </c>
      <c r="O17" s="70" t="s">
        <v>572</v>
      </c>
      <c r="R17" s="64" t="s">
        <v>844</v>
      </c>
      <c r="S17" s="8">
        <f>SUM(S12:S16)</f>
        <v>764</v>
      </c>
      <c r="T17" s="64"/>
      <c r="U17" s="8"/>
      <c r="V17" s="64"/>
      <c r="W17" s="8"/>
    </row>
    <row r="18" spans="1:23" ht="15.95" customHeight="1" x14ac:dyDescent="0.15">
      <c r="A18" s="167"/>
      <c r="B18" s="167"/>
      <c r="C18" s="274"/>
      <c r="D18" s="273"/>
      <c r="J18" s="167"/>
      <c r="K18" s="167"/>
      <c r="L18" s="167"/>
      <c r="M18" s="55" t="s">
        <v>118</v>
      </c>
      <c r="N18" s="688">
        <v>2</v>
      </c>
      <c r="O18" s="70" t="s">
        <v>572</v>
      </c>
    </row>
    <row r="19" spans="1:23" ht="15.95" customHeight="1" x14ac:dyDescent="0.15">
      <c r="A19" s="167"/>
      <c r="B19" s="275" t="s">
        <v>872</v>
      </c>
      <c r="C19" s="275" t="s">
        <v>873</v>
      </c>
      <c r="D19" s="276" t="s">
        <v>874</v>
      </c>
      <c r="H19" s="799" t="s">
        <v>875</v>
      </c>
      <c r="I19" s="800"/>
      <c r="J19" s="167"/>
      <c r="K19" s="167"/>
      <c r="L19" s="167"/>
      <c r="M19" s="55" t="s">
        <v>570</v>
      </c>
      <c r="N19" s="688">
        <v>2</v>
      </c>
      <c r="O19" s="70" t="s">
        <v>572</v>
      </c>
      <c r="R19" s="64" t="s">
        <v>215</v>
      </c>
      <c r="S19" s="8">
        <f>U12-W21</f>
        <v>-69.109947643979055</v>
      </c>
      <c r="T19" s="64" t="s">
        <v>216</v>
      </c>
      <c r="U19" s="8">
        <f>W12-W22</f>
        <v>0</v>
      </c>
      <c r="V19" s="64" t="s">
        <v>217</v>
      </c>
      <c r="W19" s="8">
        <f>S12*U12+S13*U13+S14*U14+S15*U15+S16*U16</f>
        <v>64260</v>
      </c>
    </row>
    <row r="20" spans="1:23" ht="15.95" customHeight="1" thickBot="1" x14ac:dyDescent="0.2">
      <c r="A20" s="167"/>
      <c r="B20" s="277" t="s">
        <v>876</v>
      </c>
      <c r="C20" s="278" t="s">
        <v>877</v>
      </c>
      <c r="D20" s="417">
        <f>S17</f>
        <v>764</v>
      </c>
      <c r="H20" s="699" t="s">
        <v>762</v>
      </c>
      <c r="I20" s="279" t="s">
        <v>878</v>
      </c>
      <c r="J20" s="8"/>
      <c r="K20" s="416"/>
      <c r="L20" s="167"/>
      <c r="M20" s="55" t="s">
        <v>237</v>
      </c>
      <c r="N20" s="688">
        <v>2</v>
      </c>
      <c r="O20" s="70" t="s">
        <v>572</v>
      </c>
      <c r="R20" s="64" t="s">
        <v>219</v>
      </c>
      <c r="S20" s="8">
        <f>U13-W21</f>
        <v>-53.109947643979055</v>
      </c>
      <c r="T20" s="64" t="s">
        <v>220</v>
      </c>
      <c r="U20" s="8">
        <f>W13-W22</f>
        <v>0</v>
      </c>
      <c r="V20" s="64" t="s">
        <v>221</v>
      </c>
      <c r="W20" s="8">
        <f>S12*W12+S13*W13+S14*W14+S15*W15+S16*W16</f>
        <v>22920</v>
      </c>
    </row>
    <row r="21" spans="1:23" ht="15.95" customHeight="1" x14ac:dyDescent="0.15">
      <c r="A21" s="167"/>
      <c r="B21" s="277" t="s">
        <v>879</v>
      </c>
      <c r="C21" s="278" t="s">
        <v>880</v>
      </c>
      <c r="D21" s="418">
        <f>N24</f>
        <v>462398.66666666663</v>
      </c>
      <c r="F21" s="31"/>
      <c r="G21" s="8"/>
      <c r="H21" s="8"/>
      <c r="I21" s="8"/>
      <c r="J21" s="8"/>
      <c r="K21" s="416"/>
      <c r="L21" s="167"/>
      <c r="M21" s="68" t="s">
        <v>241</v>
      </c>
      <c r="N21" s="126">
        <f>N16+N17</f>
        <v>150</v>
      </c>
      <c r="O21" s="69" t="s">
        <v>562</v>
      </c>
      <c r="R21" s="64" t="s">
        <v>222</v>
      </c>
      <c r="S21" s="8">
        <f>U14-W21</f>
        <v>64.890052356020945</v>
      </c>
      <c r="T21" s="64" t="s">
        <v>223</v>
      </c>
      <c r="U21" s="8">
        <f>W14-W22</f>
        <v>0</v>
      </c>
      <c r="V21" s="64" t="s">
        <v>224</v>
      </c>
      <c r="W21" s="8">
        <f>W19/(S12+S13+S14+S15+S16)</f>
        <v>84.109947643979055</v>
      </c>
    </row>
    <row r="22" spans="1:23" ht="15.95" customHeight="1" x14ac:dyDescent="0.15">
      <c r="A22" s="167"/>
      <c r="B22" s="277" t="s">
        <v>881</v>
      </c>
      <c r="C22" s="278" t="s">
        <v>880</v>
      </c>
      <c r="D22" s="418">
        <f>N23</f>
        <v>1671313.4310645724</v>
      </c>
      <c r="G22" s="198"/>
      <c r="H22" s="198"/>
      <c r="I22" s="198"/>
      <c r="K22" s="167"/>
      <c r="L22" s="167"/>
      <c r="M22" s="55" t="s">
        <v>121</v>
      </c>
      <c r="N22" s="7">
        <f>N15-2*N19</f>
        <v>56</v>
      </c>
      <c r="O22" s="70" t="s">
        <v>562</v>
      </c>
      <c r="R22" s="64" t="s">
        <v>225</v>
      </c>
      <c r="S22" s="8">
        <f>U15-W21</f>
        <v>5.890052356020945</v>
      </c>
      <c r="T22" s="64" t="s">
        <v>226</v>
      </c>
      <c r="U22" s="8">
        <f>W15-W22</f>
        <v>-29</v>
      </c>
      <c r="V22" s="64" t="s">
        <v>227</v>
      </c>
      <c r="W22" s="8">
        <f>W20/(S12+S13+S14+S15+S16)</f>
        <v>30</v>
      </c>
    </row>
    <row r="23" spans="1:23" ht="15.95" customHeight="1" x14ac:dyDescent="0.15">
      <c r="A23" s="167"/>
      <c r="B23" s="277" t="s">
        <v>882</v>
      </c>
      <c r="C23" s="278" t="s">
        <v>883</v>
      </c>
      <c r="D23" s="419">
        <f>N26</f>
        <v>84.109947643979055</v>
      </c>
      <c r="G23" s="198"/>
      <c r="H23" s="198" t="s">
        <v>884</v>
      </c>
      <c r="I23" s="198"/>
      <c r="K23" s="167"/>
      <c r="L23" s="167"/>
      <c r="M23" s="55" t="s">
        <v>238</v>
      </c>
      <c r="N23" s="26">
        <f>W23</f>
        <v>1671313.4310645724</v>
      </c>
      <c r="O23" s="70" t="s">
        <v>573</v>
      </c>
      <c r="R23" s="64" t="s">
        <v>228</v>
      </c>
      <c r="S23" s="8">
        <f>U16-W21</f>
        <v>5.890052356020945</v>
      </c>
      <c r="T23" s="64" t="s">
        <v>229</v>
      </c>
      <c r="U23" s="8">
        <f>W16-W22</f>
        <v>29</v>
      </c>
      <c r="V23" s="64" t="s">
        <v>230</v>
      </c>
      <c r="W23" s="8">
        <f>((S27*U27*U27*U27)/12+S12*S19*S19)+((U25*S25*S25*S25)/12+S13*S20*S20)+((U25*S25*S25*S25)/12+S14*S21*S21)+((S26*U26*U26*U26)/12+S15*S22*S22)+((S26*U26*U26*U26)/12+S16*S23*S23)</f>
        <v>1671313.4310645724</v>
      </c>
    </row>
    <row r="24" spans="1:23" ht="15.95" customHeight="1" x14ac:dyDescent="0.15">
      <c r="A24" s="167"/>
      <c r="B24" s="277" t="s">
        <v>885</v>
      </c>
      <c r="C24" s="278" t="s">
        <v>883</v>
      </c>
      <c r="D24" s="419">
        <f>N25</f>
        <v>30</v>
      </c>
      <c r="G24" s="198"/>
      <c r="H24" s="198"/>
      <c r="I24" s="198"/>
      <c r="K24" s="167"/>
      <c r="L24" s="167"/>
      <c r="M24" s="55" t="s">
        <v>239</v>
      </c>
      <c r="N24" s="26">
        <f>W24</f>
        <v>462398.66666666663</v>
      </c>
      <c r="O24" s="70" t="s">
        <v>573</v>
      </c>
      <c r="R24" s="22"/>
      <c r="S24" s="8"/>
      <c r="T24" s="22"/>
      <c r="U24" s="8"/>
      <c r="V24" s="64" t="s">
        <v>231</v>
      </c>
      <c r="W24" s="8">
        <f>((U27*S27*S27*S27)/12+S12*U19*U19)+((S25*U25*U25*U25)/12+S13*U20*U20)+((S25*U25*U25*U25)/12+S14*U21*U21)+((U26*S26*S26*S26)/12+S15*U22*U22)+((U26*S26*S26*S26)/12+S16*U23*U23)</f>
        <v>462398.66666666663</v>
      </c>
    </row>
    <row r="25" spans="1:23" ht="15.95" customHeight="1" x14ac:dyDescent="0.15">
      <c r="A25" s="167"/>
      <c r="B25" s="277" t="s">
        <v>886</v>
      </c>
      <c r="C25" s="278" t="s">
        <v>887</v>
      </c>
      <c r="D25" s="281">
        <f>D21/D24</f>
        <v>15413.288888888888</v>
      </c>
      <c r="G25" s="198"/>
      <c r="H25" s="198" t="s">
        <v>888</v>
      </c>
      <c r="I25" s="198"/>
      <c r="K25" s="167"/>
      <c r="L25" s="167"/>
      <c r="M25" s="55" t="s">
        <v>1092</v>
      </c>
      <c r="N25" s="7">
        <f>W22</f>
        <v>30</v>
      </c>
      <c r="O25" s="70" t="s">
        <v>562</v>
      </c>
      <c r="R25" s="64" t="s">
        <v>566</v>
      </c>
      <c r="S25" s="8">
        <f>N18</f>
        <v>2</v>
      </c>
      <c r="T25" s="64" t="s">
        <v>121</v>
      </c>
      <c r="U25" s="8">
        <f>N22</f>
        <v>56</v>
      </c>
      <c r="V25" s="22"/>
      <c r="W25" s="8"/>
    </row>
    <row r="26" spans="1:23" ht="15.95" customHeight="1" x14ac:dyDescent="0.15">
      <c r="A26" s="167"/>
      <c r="B26" s="277" t="s">
        <v>889</v>
      </c>
      <c r="C26" s="278" t="s">
        <v>887</v>
      </c>
      <c r="D26" s="281">
        <f>D22/D23</f>
        <v>19870.579852681814</v>
      </c>
      <c r="G26" s="198"/>
      <c r="H26" s="198"/>
      <c r="I26" s="198"/>
      <c r="K26" s="167"/>
      <c r="L26" s="167"/>
      <c r="M26" s="55" t="s">
        <v>1093</v>
      </c>
      <c r="N26" s="7">
        <f>W21</f>
        <v>84.109947643979055</v>
      </c>
      <c r="O26" s="70" t="s">
        <v>562</v>
      </c>
      <c r="R26" s="64" t="s">
        <v>565</v>
      </c>
      <c r="S26" s="8">
        <f>N19</f>
        <v>2</v>
      </c>
      <c r="T26" s="64" t="s">
        <v>567</v>
      </c>
      <c r="U26" s="8">
        <f>N16</f>
        <v>120</v>
      </c>
      <c r="V26" s="22"/>
      <c r="W26" s="8"/>
    </row>
    <row r="27" spans="1:23" ht="15.95" customHeight="1" x14ac:dyDescent="0.15">
      <c r="A27" s="167"/>
      <c r="B27" s="277" t="s">
        <v>890</v>
      </c>
      <c r="C27" s="279" t="s">
        <v>880</v>
      </c>
      <c r="D27" s="328">
        <f>(2*D34*D33*(D31-D34)^2*(D32-D33)^2)/((D31*D34)+(D32*D33)-D34^2-D33^2)</f>
        <v>1064553.0909090908</v>
      </c>
      <c r="G27" s="217"/>
      <c r="H27" s="217" t="s">
        <v>891</v>
      </c>
      <c r="K27" s="167"/>
      <c r="L27" s="167"/>
      <c r="M27" s="55" t="s">
        <v>240</v>
      </c>
      <c r="N27" s="7">
        <f>N23/N26</f>
        <v>19870.579852681814</v>
      </c>
      <c r="O27" s="70" t="s">
        <v>574</v>
      </c>
      <c r="R27" s="64" t="s">
        <v>571</v>
      </c>
      <c r="S27" s="8">
        <f>N20</f>
        <v>2</v>
      </c>
      <c r="T27" s="64" t="s">
        <v>568</v>
      </c>
      <c r="U27" s="8">
        <f>N17</f>
        <v>30</v>
      </c>
      <c r="V27" s="22"/>
      <c r="W27" s="8"/>
    </row>
    <row r="28" spans="1:23" ht="15.95" customHeight="1" thickBot="1" x14ac:dyDescent="0.2">
      <c r="A28" s="167"/>
      <c r="B28" s="167"/>
      <c r="C28" s="282"/>
      <c r="D28" s="167"/>
      <c r="E28" s="167"/>
      <c r="F28" s="167"/>
      <c r="K28" s="167"/>
      <c r="L28" s="167"/>
      <c r="M28" s="71" t="s">
        <v>395</v>
      </c>
      <c r="N28" s="127">
        <f>(2*N19*N18*(N15-N19)^2*(N16-N18)^2)/((N15*N19)+(N16*N18)-N19^2-N18^2)</f>
        <v>1064553.0909090908</v>
      </c>
      <c r="O28" s="72" t="s">
        <v>574</v>
      </c>
    </row>
    <row r="29" spans="1:23" ht="15.95" customHeight="1" x14ac:dyDescent="0.15">
      <c r="A29" s="167"/>
      <c r="F29" s="167"/>
      <c r="J29" s="283"/>
      <c r="K29" s="167"/>
      <c r="L29" s="167"/>
    </row>
    <row r="30" spans="1:23" ht="15.95" customHeight="1" x14ac:dyDescent="0.15">
      <c r="A30" s="167"/>
      <c r="B30" s="801" t="s">
        <v>892</v>
      </c>
      <c r="C30" s="801"/>
      <c r="D30" s="802"/>
      <c r="E30" s="803" t="s">
        <v>893</v>
      </c>
      <c r="F30" s="803"/>
      <c r="G30" s="804"/>
      <c r="J30" s="283"/>
      <c r="K30" s="167"/>
      <c r="L30" s="167"/>
    </row>
    <row r="31" spans="1:23" ht="15.95" customHeight="1" x14ac:dyDescent="0.15">
      <c r="A31" s="167"/>
      <c r="B31" s="329"/>
      <c r="C31" s="330" t="s">
        <v>894</v>
      </c>
      <c r="D31" s="334">
        <f>N15</f>
        <v>60</v>
      </c>
      <c r="E31" s="331" t="s">
        <v>895</v>
      </c>
      <c r="F31" s="332" t="s">
        <v>896</v>
      </c>
      <c r="G31" s="333" t="s">
        <v>897</v>
      </c>
      <c r="J31" s="283"/>
      <c r="K31" s="167"/>
      <c r="L31" s="167"/>
    </row>
    <row r="32" spans="1:23" s="168" customFormat="1" ht="15.95" customHeight="1" x14ac:dyDescent="0.15">
      <c r="A32" s="167"/>
      <c r="B32" s="198"/>
      <c r="C32" s="330" t="s">
        <v>898</v>
      </c>
      <c r="D32" s="334">
        <f>N16</f>
        <v>120</v>
      </c>
      <c r="E32" s="331" t="s">
        <v>899</v>
      </c>
      <c r="F32" s="421" t="s">
        <v>900</v>
      </c>
      <c r="G32" s="422" t="s">
        <v>900</v>
      </c>
      <c r="I32" s="166"/>
      <c r="K32" s="167"/>
      <c r="L32" s="167"/>
      <c r="M32" s="169" t="s">
        <v>901</v>
      </c>
      <c r="N32" s="166"/>
      <c r="O32" s="166"/>
      <c r="P32" s="166"/>
    </row>
    <row r="33" spans="1:16" s="168" customFormat="1" ht="15.95" customHeight="1" x14ac:dyDescent="0.15">
      <c r="A33" s="167"/>
      <c r="B33" s="198"/>
      <c r="C33" s="330" t="s">
        <v>902</v>
      </c>
      <c r="D33" s="334">
        <f>N18</f>
        <v>2</v>
      </c>
      <c r="E33" s="331" t="s">
        <v>763</v>
      </c>
      <c r="F33" s="423">
        <f>D33</f>
        <v>2</v>
      </c>
      <c r="G33" s="420">
        <f>D31-2*D34</f>
        <v>56</v>
      </c>
      <c r="I33" s="166"/>
      <c r="K33" s="167"/>
      <c r="L33" s="167"/>
      <c r="M33" s="169" t="s">
        <v>903</v>
      </c>
      <c r="N33" s="166"/>
      <c r="O33" s="166"/>
      <c r="P33" s="166"/>
    </row>
    <row r="34" spans="1:16" s="168" customFormat="1" ht="15.95" customHeight="1" x14ac:dyDescent="0.15">
      <c r="A34" s="167"/>
      <c r="B34" s="187"/>
      <c r="C34" s="330" t="s">
        <v>904</v>
      </c>
      <c r="D34" s="334">
        <f>N19</f>
        <v>2</v>
      </c>
      <c r="E34" s="331" t="s">
        <v>764</v>
      </c>
      <c r="F34" s="424">
        <f>D34</f>
        <v>2</v>
      </c>
      <c r="G34" s="420">
        <f>D32-2*D33</f>
        <v>116</v>
      </c>
      <c r="I34" s="166"/>
      <c r="K34" s="167"/>
      <c r="L34" s="167"/>
      <c r="M34" s="169" t="s">
        <v>905</v>
      </c>
      <c r="N34" s="166"/>
      <c r="O34" s="166"/>
      <c r="P34" s="166"/>
    </row>
    <row r="35" spans="1:16" s="168" customFormat="1" ht="15.95" customHeight="1" x14ac:dyDescent="0.15">
      <c r="A35" s="167"/>
      <c r="B35" s="198"/>
      <c r="D35" s="205"/>
      <c r="E35" s="166"/>
      <c r="G35" s="167"/>
      <c r="I35" s="166"/>
      <c r="K35" s="167"/>
      <c r="L35" s="167"/>
      <c r="N35" s="166"/>
      <c r="O35" s="166"/>
      <c r="P35" s="166"/>
    </row>
    <row r="36" spans="1:16" s="168" customFormat="1" ht="15.95" customHeight="1" x14ac:dyDescent="0.15">
      <c r="A36" s="167"/>
      <c r="B36" s="205"/>
      <c r="C36" s="205"/>
      <c r="D36" s="167"/>
      <c r="E36" s="335"/>
      <c r="F36" s="282"/>
      <c r="G36" s="282"/>
      <c r="H36" s="282"/>
      <c r="I36" s="166"/>
      <c r="K36" s="167"/>
      <c r="L36" s="167"/>
      <c r="N36" s="166"/>
      <c r="O36" s="166"/>
      <c r="P36" s="166"/>
    </row>
    <row r="37" spans="1:16" s="168" customFormat="1" ht="15.95" customHeight="1" x14ac:dyDescent="0.15">
      <c r="A37" s="167"/>
      <c r="B37" s="801" t="s">
        <v>906</v>
      </c>
      <c r="C37" s="802"/>
      <c r="D37" s="276" t="s">
        <v>907</v>
      </c>
      <c r="E37" s="284" t="s">
        <v>908</v>
      </c>
      <c r="F37" s="805" t="s">
        <v>657</v>
      </c>
      <c r="G37" s="806"/>
      <c r="J37" s="167"/>
      <c r="K37" s="167"/>
    </row>
    <row r="38" spans="1:16" s="168" customFormat="1" ht="15.95" customHeight="1" x14ac:dyDescent="0.15">
      <c r="A38" s="167"/>
      <c r="B38" s="816" t="s">
        <v>909</v>
      </c>
      <c r="C38" s="285" t="s">
        <v>910</v>
      </c>
      <c r="D38" s="286">
        <f>D174</f>
        <v>3.8585403221273347</v>
      </c>
      <c r="E38" s="287">
        <f>D176</f>
        <v>45.410296103448275</v>
      </c>
      <c r="F38" s="288">
        <f>D38/E38</f>
        <v>8.4970604757504162E-2</v>
      </c>
      <c r="G38" s="372" t="str">
        <f>IF(D38&lt;E38,"O.K.","N.G.")</f>
        <v>O.K.</v>
      </c>
      <c r="J38" s="167"/>
      <c r="K38" s="167"/>
    </row>
    <row r="39" spans="1:16" s="168" customFormat="1" ht="15.95" customHeight="1" x14ac:dyDescent="0.15">
      <c r="A39" s="167"/>
      <c r="B39" s="817"/>
      <c r="C39" s="285" t="s">
        <v>846</v>
      </c>
      <c r="D39" s="286">
        <f>D216</f>
        <v>0</v>
      </c>
      <c r="E39" s="287">
        <f>D218</f>
        <v>65.334717332000011</v>
      </c>
      <c r="F39" s="288">
        <f>D39/E39</f>
        <v>0</v>
      </c>
      <c r="G39" s="372" t="str">
        <f>IF(D39&lt;E39,"O.K.","N.G.")</f>
        <v>O.K.</v>
      </c>
      <c r="J39" s="167"/>
      <c r="K39" s="167"/>
      <c r="L39" s="167"/>
    </row>
    <row r="40" spans="1:16" s="168" customFormat="1" ht="15.95" customHeight="1" x14ac:dyDescent="0.15">
      <c r="A40" s="167"/>
      <c r="B40" s="818"/>
      <c r="C40" s="285" t="s">
        <v>911</v>
      </c>
      <c r="D40" s="819" t="s">
        <v>912</v>
      </c>
      <c r="E40" s="820"/>
      <c r="F40" s="288">
        <f>F38+F39</f>
        <v>8.4970604757504162E-2</v>
      </c>
      <c r="G40" s="372" t="str">
        <f>IF(F40&lt;1,"O.K.","N.G.")</f>
        <v>O.K.</v>
      </c>
      <c r="J40" s="167"/>
      <c r="K40" s="167"/>
      <c r="M40" s="810" t="s">
        <v>913</v>
      </c>
      <c r="N40" s="811"/>
      <c r="O40" s="177"/>
    </row>
    <row r="41" spans="1:16" s="168" customFormat="1" ht="15.95" customHeight="1" x14ac:dyDescent="0.2">
      <c r="A41" s="167"/>
      <c r="B41" s="290" t="s">
        <v>914</v>
      </c>
      <c r="C41" s="285" t="s">
        <v>910</v>
      </c>
      <c r="D41" s="291">
        <f>D14</f>
        <v>0.47228377811926775</v>
      </c>
      <c r="E41" s="294">
        <f>VLOOKUP(H20,M41:N42,2,0)</f>
        <v>1.5</v>
      </c>
      <c r="F41" s="288">
        <f>D41/E41</f>
        <v>0.31485585207951183</v>
      </c>
      <c r="G41" s="372" t="str">
        <f>IF(D41&lt;E41,"O.K.","N.G.")</f>
        <v>O.K.</v>
      </c>
      <c r="J41" s="167"/>
      <c r="K41" s="167"/>
      <c r="M41" s="292" t="s">
        <v>915</v>
      </c>
      <c r="N41" s="694">
        <v>1.5</v>
      </c>
      <c r="O41" s="177"/>
      <c r="P41" s="177"/>
    </row>
    <row r="42" spans="1:16" s="177" customFormat="1" ht="15.95" customHeight="1" x14ac:dyDescent="0.15">
      <c r="A42" s="167"/>
      <c r="B42" s="293" t="s">
        <v>883</v>
      </c>
      <c r="C42" s="285" t="s">
        <v>846</v>
      </c>
      <c r="D42" s="291">
        <f>D15</f>
        <v>0</v>
      </c>
      <c r="E42" s="294">
        <f>D259</f>
        <v>8.5714285714285712</v>
      </c>
      <c r="F42" s="288">
        <f>D42/E42</f>
        <v>0</v>
      </c>
      <c r="G42" s="372" t="str">
        <f>IF(D42&lt;E42,"O.K.","N.G.")</f>
        <v>O.K.</v>
      </c>
      <c r="J42" s="167"/>
      <c r="K42" s="167"/>
      <c r="M42" s="292" t="s">
        <v>916</v>
      </c>
      <c r="N42" s="694">
        <v>3</v>
      </c>
      <c r="O42" s="192" t="s">
        <v>917</v>
      </c>
    </row>
    <row r="43" spans="1:16" s="177" customFormat="1" ht="15.95" customHeight="1" x14ac:dyDescent="0.15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93"/>
    </row>
    <row r="44" spans="1:16" s="177" customFormat="1" ht="15.95" customHeight="1" x14ac:dyDescent="0.15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93"/>
    </row>
    <row r="45" spans="1:16" s="177" customFormat="1" ht="15.95" customHeight="1" x14ac:dyDescent="0.15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93"/>
    </row>
    <row r="46" spans="1:16" s="177" customFormat="1" ht="15.95" customHeight="1" x14ac:dyDescent="0.15">
      <c r="A46" s="821" t="s">
        <v>1217</v>
      </c>
      <c r="B46" s="821"/>
      <c r="C46" s="821"/>
      <c r="D46" s="821"/>
      <c r="E46" s="821"/>
      <c r="F46" s="821"/>
      <c r="G46" s="821"/>
      <c r="H46" s="821"/>
      <c r="I46" s="821"/>
      <c r="J46" s="821"/>
      <c r="K46" s="821"/>
      <c r="L46" s="167"/>
      <c r="M46" s="193"/>
    </row>
    <row r="47" spans="1:16" s="177" customFormat="1" ht="15.95" hidden="1" customHeight="1" x14ac:dyDescent="0.15">
      <c r="B47" s="2" t="s">
        <v>918</v>
      </c>
    </row>
    <row r="48" spans="1:16" s="177" customFormat="1" ht="15.95" hidden="1" customHeight="1" x14ac:dyDescent="0.15"/>
    <row r="49" spans="1:18" s="177" customFormat="1" ht="15.95" hidden="1" customHeight="1" x14ac:dyDescent="0.15">
      <c r="B49" s="177" t="s">
        <v>919</v>
      </c>
    </row>
    <row r="50" spans="1:18" s="177" customFormat="1" ht="15.95" hidden="1" customHeight="1" x14ac:dyDescent="0.15"/>
    <row r="51" spans="1:18" s="177" customFormat="1" ht="15.95" hidden="1" customHeight="1" x14ac:dyDescent="0.15">
      <c r="B51" s="234" t="s">
        <v>920</v>
      </c>
      <c r="C51" s="231" t="s">
        <v>921</v>
      </c>
    </row>
    <row r="52" spans="1:18" s="177" customFormat="1" ht="15.95" hidden="1" customHeight="1" x14ac:dyDescent="0.15">
      <c r="A52" s="202"/>
      <c r="B52" s="234" t="s">
        <v>922</v>
      </c>
      <c r="C52" s="231" t="s">
        <v>923</v>
      </c>
    </row>
    <row r="53" spans="1:18" s="177" customFormat="1" ht="15.95" hidden="1" customHeight="1" x14ac:dyDescent="0.15">
      <c r="A53" s="202"/>
    </row>
    <row r="54" spans="1:18" s="177" customFormat="1" ht="15.95" hidden="1" customHeight="1" x14ac:dyDescent="0.15">
      <c r="A54" s="202"/>
    </row>
    <row r="55" spans="1:18" s="177" customFormat="1" ht="15.95" hidden="1" customHeight="1" x14ac:dyDescent="0.15">
      <c r="A55" s="202"/>
    </row>
    <row r="56" spans="1:18" s="177" customFormat="1" ht="15.95" hidden="1" customHeight="1" x14ac:dyDescent="0.15">
      <c r="A56" s="202"/>
    </row>
    <row r="57" spans="1:18" s="177" customFormat="1" ht="15.95" hidden="1" customHeight="1" x14ac:dyDescent="0.15">
      <c r="A57" s="202"/>
    </row>
    <row r="58" spans="1:18" s="177" customFormat="1" ht="15.95" hidden="1" customHeight="1" x14ac:dyDescent="0.15">
      <c r="A58" s="202"/>
    </row>
    <row r="59" spans="1:18" s="177" customFormat="1" ht="15.95" hidden="1" customHeight="1" x14ac:dyDescent="0.15">
      <c r="A59" s="202"/>
    </row>
    <row r="60" spans="1:18" s="177" customFormat="1" ht="15.95" hidden="1" customHeight="1" x14ac:dyDescent="0.15">
      <c r="A60" s="202"/>
    </row>
    <row r="61" spans="1:18" s="177" customFormat="1" ht="15.95" hidden="1" customHeight="1" x14ac:dyDescent="0.15">
      <c r="A61" s="202"/>
      <c r="B61" s="812" t="s">
        <v>924</v>
      </c>
      <c r="C61" s="812"/>
      <c r="D61" s="812"/>
      <c r="E61" s="178"/>
      <c r="G61" s="812" t="s">
        <v>925</v>
      </c>
      <c r="H61" s="812"/>
    </row>
    <row r="62" spans="1:18" s="177" customFormat="1" ht="15.95" hidden="1" customHeight="1" x14ac:dyDescent="0.15"/>
    <row r="63" spans="1:18" s="177" customFormat="1" ht="15.95" hidden="1" customHeight="1" x14ac:dyDescent="0.15"/>
    <row r="64" spans="1:18" s="177" customFormat="1" ht="15.95" hidden="1" customHeight="1" x14ac:dyDescent="0.15">
      <c r="A64" s="202"/>
      <c r="B64" s="197" t="s">
        <v>926</v>
      </c>
      <c r="Q64" s="196" t="s">
        <v>927</v>
      </c>
      <c r="R64" s="295">
        <v>9.8066499999999994</v>
      </c>
    </row>
    <row r="65" spans="1:18" s="177" customFormat="1" ht="15.95" hidden="1" customHeight="1" x14ac:dyDescent="0.15">
      <c r="N65" s="196" t="s">
        <v>928</v>
      </c>
      <c r="O65" s="296">
        <f>Q65*$R$64/10^9</f>
        <v>2.4516625E-5</v>
      </c>
      <c r="P65" s="203" t="s">
        <v>929</v>
      </c>
      <c r="Q65" s="297">
        <v>2500</v>
      </c>
      <c r="R65" s="203" t="s">
        <v>930</v>
      </c>
    </row>
    <row r="66" spans="1:18" s="177" customFormat="1" ht="15.95" hidden="1" customHeight="1" x14ac:dyDescent="0.15">
      <c r="B66" s="173" t="s">
        <v>931</v>
      </c>
      <c r="C66" s="168" t="s">
        <v>767</v>
      </c>
      <c r="D66" s="268">
        <f>D9</f>
        <v>1500</v>
      </c>
      <c r="E66" s="177" t="s">
        <v>583</v>
      </c>
      <c r="G66" s="173" t="s">
        <v>932</v>
      </c>
      <c r="H66" s="168" t="s">
        <v>767</v>
      </c>
      <c r="I66" s="299">
        <f>(VLOOKUP(D7,N74:O79,2)*O65*D67*D66/2)</f>
        <v>143.42225625</v>
      </c>
      <c r="J66" s="202" t="s">
        <v>933</v>
      </c>
      <c r="N66" s="196" t="s">
        <v>934</v>
      </c>
      <c r="O66" s="296">
        <f>Q66*$R$64/10^9</f>
        <v>2.6477954999999996E-5</v>
      </c>
      <c r="P66" s="203" t="s">
        <v>929</v>
      </c>
      <c r="Q66" s="297">
        <v>2700</v>
      </c>
      <c r="R66" s="203" t="s">
        <v>930</v>
      </c>
    </row>
    <row r="67" spans="1:18" s="177" customFormat="1" ht="15.95" hidden="1" customHeight="1" x14ac:dyDescent="0.15">
      <c r="B67" s="173" t="s">
        <v>935</v>
      </c>
      <c r="C67" s="168" t="s">
        <v>767</v>
      </c>
      <c r="D67" s="268">
        <f>D10</f>
        <v>650</v>
      </c>
      <c r="E67" s="177" t="s">
        <v>583</v>
      </c>
      <c r="G67" s="203" t="s">
        <v>936</v>
      </c>
      <c r="N67" s="196" t="s">
        <v>937</v>
      </c>
      <c r="O67" s="296">
        <f>Q67*$R$64/10^9</f>
        <v>7.6982202499999993E-5</v>
      </c>
      <c r="P67" s="203" t="s">
        <v>929</v>
      </c>
      <c r="Q67" s="298">
        <v>7850</v>
      </c>
      <c r="R67" s="203" t="s">
        <v>930</v>
      </c>
    </row>
    <row r="68" spans="1:18" s="177" customFormat="1" ht="15.95" hidden="1" customHeight="1" x14ac:dyDescent="0.15">
      <c r="B68" s="173" t="s">
        <v>894</v>
      </c>
      <c r="C68" s="168" t="s">
        <v>767</v>
      </c>
      <c r="D68" s="268">
        <f>D66/D8</f>
        <v>375</v>
      </c>
      <c r="E68" s="177" t="s">
        <v>583</v>
      </c>
      <c r="G68" s="173" t="s">
        <v>938</v>
      </c>
      <c r="H68" s="168" t="s">
        <v>767</v>
      </c>
      <c r="I68" s="174">
        <f>O69</f>
        <v>30.343736429999996</v>
      </c>
      <c r="J68" s="167" t="s">
        <v>933</v>
      </c>
      <c r="N68" s="196" t="s">
        <v>939</v>
      </c>
      <c r="O68" s="199">
        <f>D20</f>
        <v>764</v>
      </c>
      <c r="P68" s="177" t="s">
        <v>940</v>
      </c>
    </row>
    <row r="69" spans="1:18" s="177" customFormat="1" ht="15.95" hidden="1" customHeight="1" x14ac:dyDescent="0.15">
      <c r="B69" s="173" t="s">
        <v>849</v>
      </c>
      <c r="C69" s="168" t="s">
        <v>767</v>
      </c>
      <c r="D69" s="268">
        <f>D6</f>
        <v>69600</v>
      </c>
      <c r="E69" s="198" t="s">
        <v>850</v>
      </c>
      <c r="G69" s="203" t="s">
        <v>941</v>
      </c>
      <c r="N69" s="196" t="s">
        <v>942</v>
      </c>
      <c r="O69" s="199">
        <f>O66*O68*D66</f>
        <v>30.343736429999996</v>
      </c>
      <c r="P69" s="202" t="s">
        <v>933</v>
      </c>
    </row>
    <row r="70" spans="1:18" s="177" customFormat="1" ht="15.95" hidden="1" customHeight="1" x14ac:dyDescent="0.15">
      <c r="B70" s="173" t="s">
        <v>879</v>
      </c>
      <c r="C70" s="168" t="s">
        <v>767</v>
      </c>
      <c r="D70" s="268">
        <f>D21</f>
        <v>462398.66666666663</v>
      </c>
      <c r="E70" s="177" t="s">
        <v>943</v>
      </c>
      <c r="G70" s="173" t="s">
        <v>944</v>
      </c>
      <c r="H70" s="168" t="s">
        <v>767</v>
      </c>
      <c r="I70" s="173" t="s">
        <v>945</v>
      </c>
      <c r="O70" s="196"/>
      <c r="P70" s="266"/>
    </row>
    <row r="71" spans="1:18" s="177" customFormat="1" ht="15.95" hidden="1" customHeight="1" x14ac:dyDescent="0.15">
      <c r="G71" s="173"/>
      <c r="H71" s="168" t="s">
        <v>767</v>
      </c>
      <c r="I71" s="299">
        <f>I68/D66</f>
        <v>2.0229157619999997E-2</v>
      </c>
      <c r="J71" s="167" t="s">
        <v>946</v>
      </c>
      <c r="O71" s="196"/>
      <c r="P71" s="266"/>
      <c r="Q71" s="202"/>
    </row>
    <row r="72" spans="1:18" s="177" customFormat="1" ht="15.95" hidden="1" customHeight="1" x14ac:dyDescent="0.15"/>
    <row r="73" spans="1:18" s="177" customFormat="1" ht="15.95" hidden="1" customHeight="1" x14ac:dyDescent="0.15">
      <c r="N73" s="196" t="s">
        <v>947</v>
      </c>
      <c r="O73" s="193" t="s">
        <v>948</v>
      </c>
      <c r="P73" s="177" t="s">
        <v>949</v>
      </c>
      <c r="Q73" s="203" t="s">
        <v>950</v>
      </c>
      <c r="R73" s="196" t="s">
        <v>951</v>
      </c>
    </row>
    <row r="74" spans="1:18" s="177" customFormat="1" ht="15.95" hidden="1" customHeight="1" x14ac:dyDescent="0.15">
      <c r="B74" s="197" t="s">
        <v>740</v>
      </c>
      <c r="N74" s="177">
        <v>12</v>
      </c>
      <c r="O74" s="300">
        <v>6</v>
      </c>
      <c r="P74" s="177" t="s">
        <v>952</v>
      </c>
      <c r="Q74" s="217">
        <f>R74*$R$64</f>
        <v>147.09975</v>
      </c>
      <c r="R74" s="217">
        <f>$Q$65*(O74/10^3)</f>
        <v>15</v>
      </c>
    </row>
    <row r="75" spans="1:18" s="177" customFormat="1" ht="15.95" hidden="1" customHeight="1" x14ac:dyDescent="0.15">
      <c r="A75" s="202"/>
      <c r="N75" s="177">
        <v>16</v>
      </c>
      <c r="O75" s="300">
        <v>10</v>
      </c>
      <c r="P75" s="177" t="s">
        <v>953</v>
      </c>
      <c r="Q75" s="217">
        <f t="shared" ref="Q75:Q79" si="0">R75*$R$64</f>
        <v>245.16624999999999</v>
      </c>
      <c r="R75" s="217">
        <f t="shared" ref="R75:R79" si="1">$Q$65*(O75/10^3)</f>
        <v>25</v>
      </c>
    </row>
    <row r="76" spans="1:18" s="177" customFormat="1" ht="15.95" hidden="1" customHeight="1" x14ac:dyDescent="0.15">
      <c r="B76" s="173" t="s">
        <v>954</v>
      </c>
      <c r="C76" s="168" t="s">
        <v>767</v>
      </c>
      <c r="D76" s="173" t="s">
        <v>955</v>
      </c>
      <c r="E76" s="168"/>
      <c r="G76" s="173" t="s">
        <v>956</v>
      </c>
      <c r="H76" s="168" t="s">
        <v>767</v>
      </c>
      <c r="I76" s="173" t="s">
        <v>957</v>
      </c>
      <c r="J76" s="168"/>
      <c r="N76" s="177">
        <v>18</v>
      </c>
      <c r="O76" s="300">
        <v>12</v>
      </c>
      <c r="P76" s="177" t="s">
        <v>958</v>
      </c>
      <c r="Q76" s="217">
        <f t="shared" si="0"/>
        <v>294.1995</v>
      </c>
      <c r="R76" s="217">
        <f t="shared" si="1"/>
        <v>30</v>
      </c>
    </row>
    <row r="77" spans="1:18" s="177" customFormat="1" ht="15.95" hidden="1" customHeight="1" x14ac:dyDescent="0.15">
      <c r="B77" s="173"/>
      <c r="C77" s="168" t="s">
        <v>767</v>
      </c>
      <c r="D77" s="173" t="s">
        <v>932</v>
      </c>
      <c r="E77" s="168"/>
      <c r="F77" s="173"/>
      <c r="G77" s="173"/>
      <c r="H77" s="168" t="s">
        <v>767</v>
      </c>
      <c r="I77" s="173" t="s">
        <v>959</v>
      </c>
      <c r="J77" s="168"/>
      <c r="N77" s="177">
        <v>22</v>
      </c>
      <c r="O77" s="300">
        <v>10</v>
      </c>
      <c r="P77" s="177" t="s">
        <v>960</v>
      </c>
      <c r="Q77" s="217">
        <f t="shared" si="0"/>
        <v>245.16624999999999</v>
      </c>
      <c r="R77" s="217">
        <f t="shared" si="1"/>
        <v>25</v>
      </c>
    </row>
    <row r="78" spans="1:18" s="177" customFormat="1" ht="15.95" hidden="1" customHeight="1" x14ac:dyDescent="0.15">
      <c r="B78" s="173"/>
      <c r="C78" s="168" t="s">
        <v>767</v>
      </c>
      <c r="D78" s="268">
        <f>I66</f>
        <v>143.42225625</v>
      </c>
      <c r="E78" s="177" t="s">
        <v>933</v>
      </c>
      <c r="F78" s="173"/>
      <c r="G78" s="173"/>
      <c r="H78" s="168" t="s">
        <v>767</v>
      </c>
      <c r="I78" s="174">
        <f>(I71*D66)/2</f>
        <v>15.171868214999998</v>
      </c>
      <c r="J78" s="177" t="s">
        <v>933</v>
      </c>
      <c r="N78" s="177">
        <v>24</v>
      </c>
      <c r="O78" s="300">
        <v>12</v>
      </c>
      <c r="P78" s="177" t="s">
        <v>961</v>
      </c>
      <c r="Q78" s="217">
        <f t="shared" si="0"/>
        <v>294.1995</v>
      </c>
      <c r="R78" s="217">
        <f t="shared" si="1"/>
        <v>30</v>
      </c>
    </row>
    <row r="79" spans="1:18" s="177" customFormat="1" ht="15.95" hidden="1" customHeight="1" x14ac:dyDescent="0.15">
      <c r="B79" s="173"/>
      <c r="C79" s="168"/>
      <c r="D79" s="166"/>
      <c r="F79" s="173"/>
      <c r="G79" s="173"/>
      <c r="H79" s="168"/>
      <c r="I79" s="176"/>
      <c r="N79" s="177">
        <v>28</v>
      </c>
      <c r="O79" s="300">
        <v>16</v>
      </c>
      <c r="P79" s="177" t="s">
        <v>962</v>
      </c>
      <c r="Q79" s="217">
        <f t="shared" si="0"/>
        <v>392.26599999999996</v>
      </c>
      <c r="R79" s="217">
        <f t="shared" si="1"/>
        <v>40</v>
      </c>
    </row>
    <row r="80" spans="1:18" s="177" customFormat="1" ht="15.95" hidden="1" customHeight="1" x14ac:dyDescent="0.15">
      <c r="B80" s="173" t="s">
        <v>963</v>
      </c>
      <c r="C80" s="168" t="s">
        <v>767</v>
      </c>
      <c r="D80" s="173" t="s">
        <v>964</v>
      </c>
      <c r="E80" s="168"/>
      <c r="G80" s="173" t="s">
        <v>965</v>
      </c>
      <c r="H80" s="168" t="s">
        <v>767</v>
      </c>
      <c r="I80" s="173" t="s">
        <v>966</v>
      </c>
      <c r="J80" s="168"/>
      <c r="L80" s="301"/>
      <c r="M80" s="202"/>
      <c r="N80" s="301"/>
      <c r="O80" s="203"/>
    </row>
    <row r="81" spans="2:15" s="177" customFormat="1" ht="15.95" hidden="1" customHeight="1" x14ac:dyDescent="0.15">
      <c r="B81" s="173"/>
      <c r="C81" s="168" t="s">
        <v>767</v>
      </c>
      <c r="D81" s="268">
        <f>I66*D68</f>
        <v>53783.346093749999</v>
      </c>
      <c r="E81" s="202" t="s">
        <v>967</v>
      </c>
      <c r="G81" s="173"/>
      <c r="H81" s="168" t="s">
        <v>767</v>
      </c>
      <c r="I81" s="268">
        <f>(I71*D66^2)/8</f>
        <v>5689.450580624999</v>
      </c>
      <c r="J81" s="202" t="s">
        <v>967</v>
      </c>
      <c r="L81" s="301"/>
      <c r="M81" s="202"/>
      <c r="N81" s="301"/>
      <c r="O81" s="203"/>
    </row>
    <row r="82" spans="2:15" s="177" customFormat="1" ht="15.95" hidden="1" customHeight="1" x14ac:dyDescent="0.15">
      <c r="B82" s="173"/>
      <c r="C82" s="168"/>
      <c r="D82" s="217"/>
      <c r="E82" s="202"/>
      <c r="G82" s="173"/>
      <c r="H82" s="168"/>
      <c r="I82" s="173"/>
      <c r="J82" s="168"/>
      <c r="L82" s="301"/>
      <c r="M82" s="202"/>
      <c r="N82" s="301"/>
      <c r="O82" s="203"/>
    </row>
    <row r="83" spans="2:15" s="177" customFormat="1" ht="15.95" hidden="1" customHeight="1" x14ac:dyDescent="0.15">
      <c r="B83" s="173" t="s">
        <v>864</v>
      </c>
      <c r="C83" s="168" t="s">
        <v>767</v>
      </c>
      <c r="D83" s="178" t="s">
        <v>968</v>
      </c>
      <c r="G83" s="173"/>
      <c r="H83" s="168"/>
      <c r="I83" s="173"/>
      <c r="J83" s="168"/>
      <c r="L83" s="2"/>
      <c r="M83" s="150"/>
      <c r="N83" s="27"/>
      <c r="O83" s="203"/>
    </row>
    <row r="84" spans="2:15" s="177" customFormat="1" ht="15.95" hidden="1" customHeight="1" x14ac:dyDescent="0.15">
      <c r="C84" s="168" t="s">
        <v>767</v>
      </c>
      <c r="D84" s="302">
        <f>(D81+I81)</f>
        <v>59472.796674375</v>
      </c>
      <c r="E84" s="202" t="s">
        <v>1078</v>
      </c>
      <c r="G84" s="173"/>
      <c r="H84" s="168"/>
      <c r="I84" s="173"/>
      <c r="J84" s="168"/>
      <c r="L84" s="2"/>
      <c r="M84" s="414"/>
      <c r="N84" s="2"/>
      <c r="O84" s="203"/>
    </row>
    <row r="85" spans="2:15" s="177" customFormat="1" ht="15.95" hidden="1" customHeight="1" x14ac:dyDescent="0.15">
      <c r="B85" s="173"/>
      <c r="C85" s="168"/>
      <c r="D85" s="217"/>
      <c r="E85" s="202"/>
      <c r="G85" s="173"/>
      <c r="H85" s="168"/>
      <c r="I85" s="173"/>
      <c r="J85" s="168"/>
      <c r="L85" s="301"/>
      <c r="M85" s="202"/>
      <c r="N85" s="301"/>
      <c r="O85" s="203"/>
    </row>
    <row r="86" spans="2:15" s="177" customFormat="1" ht="15.95" hidden="1" customHeight="1" x14ac:dyDescent="0.15">
      <c r="B86" s="173" t="s">
        <v>969</v>
      </c>
      <c r="C86" s="168" t="s">
        <v>767</v>
      </c>
      <c r="D86" s="173" t="s">
        <v>970</v>
      </c>
      <c r="F86" s="203"/>
      <c r="G86" s="173" t="s">
        <v>971</v>
      </c>
      <c r="H86" s="168" t="s">
        <v>767</v>
      </c>
      <c r="I86" s="173" t="s">
        <v>972</v>
      </c>
      <c r="L86" s="301"/>
    </row>
    <row r="87" spans="2:15" s="177" customFormat="1" ht="15.95" hidden="1" customHeight="1" x14ac:dyDescent="0.15">
      <c r="C87" s="168" t="s">
        <v>767</v>
      </c>
      <c r="D87" s="166">
        <f>D81*(3*D66^2-4*D68^2)/(24*D69*D70)</f>
        <v>0.43084987924272283</v>
      </c>
      <c r="E87" s="202" t="s">
        <v>583</v>
      </c>
      <c r="H87" s="168" t="s">
        <v>767</v>
      </c>
      <c r="I87" s="166">
        <f>(5*I71*D66^4)/(384*D69*D70)</f>
        <v>4.1433898876544917E-2</v>
      </c>
      <c r="J87" s="202" t="s">
        <v>583</v>
      </c>
      <c r="L87" s="196"/>
    </row>
    <row r="88" spans="2:15" s="177" customFormat="1" ht="15.95" hidden="1" customHeight="1" x14ac:dyDescent="0.15">
      <c r="D88" s="252"/>
      <c r="E88" s="196"/>
      <c r="F88" s="203"/>
      <c r="J88" s="303"/>
      <c r="K88" s="196"/>
    </row>
    <row r="89" spans="2:15" s="177" customFormat="1" ht="15.95" hidden="1" customHeight="1" x14ac:dyDescent="0.15">
      <c r="B89" s="173" t="s">
        <v>868</v>
      </c>
      <c r="C89" s="168" t="s">
        <v>767</v>
      </c>
      <c r="D89" s="173" t="s">
        <v>973</v>
      </c>
      <c r="L89" s="2"/>
      <c r="M89" s="412"/>
      <c r="N89" s="27"/>
    </row>
    <row r="90" spans="2:15" s="177" customFormat="1" ht="15.95" hidden="1" customHeight="1" x14ac:dyDescent="0.15">
      <c r="C90" s="168" t="s">
        <v>767</v>
      </c>
      <c r="D90" s="304">
        <f>D87+I87</f>
        <v>0.47228377811926775</v>
      </c>
      <c r="E90" s="202" t="s">
        <v>583</v>
      </c>
      <c r="L90" s="2"/>
      <c r="M90" s="414"/>
      <c r="N90" s="2"/>
    </row>
    <row r="91" spans="2:15" s="177" customFormat="1" ht="15.95" hidden="1" customHeight="1" x14ac:dyDescent="0.15">
      <c r="C91" s="168"/>
    </row>
    <row r="92" spans="2:15" s="177" customFormat="1" ht="15.95" hidden="1" customHeight="1" x14ac:dyDescent="0.15">
      <c r="C92" s="168"/>
    </row>
    <row r="93" spans="2:15" s="177" customFormat="1" ht="15.95" hidden="1" customHeight="1" x14ac:dyDescent="0.15">
      <c r="B93" s="177" t="s">
        <v>974</v>
      </c>
    </row>
    <row r="94" spans="2:15" s="177" customFormat="1" ht="15.95" hidden="1" customHeight="1" x14ac:dyDescent="0.15">
      <c r="B94" s="234"/>
    </row>
    <row r="95" spans="2:15" s="177" customFormat="1" ht="15.95" hidden="1" customHeight="1" x14ac:dyDescent="0.15">
      <c r="B95" s="231" t="str">
        <f>IF(D103 &lt;&gt; 0, L102, "")</f>
        <v>( UPPER )</v>
      </c>
      <c r="C95" s="231" t="str">
        <f>IF(M102=1, L104,L105)</f>
        <v>·  Simpley Supported Beam W/ Uniformly Distributed Load, Decreasing @ Both Eeds</v>
      </c>
    </row>
    <row r="96" spans="2:15" s="177" customFormat="1" ht="15.95" hidden="1" customHeight="1" x14ac:dyDescent="0.15">
      <c r="B96" s="231" t="str">
        <f>IF(D104&lt;&gt;0, L103, "")</f>
        <v xml:space="preserve">( BOTTOM ) </v>
      </c>
      <c r="C96" s="231" t="str">
        <f>IF(D104=0, "", IF(M103=1, L104, L105))</f>
        <v>·  Simpley Supported Beam W/ Distributed Load Increasing Toward Center</v>
      </c>
    </row>
    <row r="97" spans="2:18" s="177" customFormat="1" ht="15.95" hidden="1" customHeight="1" x14ac:dyDescent="0.15"/>
    <row r="98" spans="2:18" s="177" customFormat="1" ht="15.95" hidden="1" customHeight="1" x14ac:dyDescent="0.15">
      <c r="B98" s="197" t="s">
        <v>926</v>
      </c>
      <c r="N98" s="305" t="s">
        <v>975</v>
      </c>
      <c r="O98" s="306" t="str">
        <f>HLOOKUP(P98,V278:Y279,2,FALSE)</f>
        <v>사다리+삼각</v>
      </c>
      <c r="P98" s="222">
        <f>VLOOKUP("TRUE", O99:P102, 2, FALSE)</f>
        <v>2</v>
      </c>
    </row>
    <row r="99" spans="2:18" s="177" customFormat="1" ht="15.95" hidden="1" customHeight="1" x14ac:dyDescent="0.15">
      <c r="G99" s="813"/>
      <c r="H99" s="813"/>
      <c r="I99" s="813"/>
      <c r="O99" s="307" t="b">
        <f>IF(AND(D102&lt;=D103, D102 &gt; D104),"TRUE", FALSE)</f>
        <v>0</v>
      </c>
      <c r="P99" s="307">
        <v>1</v>
      </c>
    </row>
    <row r="100" spans="2:18" s="177" customFormat="1" ht="15.95" hidden="1" customHeight="1" x14ac:dyDescent="0.15">
      <c r="B100" s="173" t="s">
        <v>846</v>
      </c>
      <c r="C100" s="168" t="s">
        <v>767</v>
      </c>
      <c r="D100" s="205">
        <f>ABS(D5)</f>
        <v>0</v>
      </c>
      <c r="E100" s="167" t="s">
        <v>847</v>
      </c>
      <c r="G100" s="813"/>
      <c r="H100" s="813"/>
      <c r="I100" s="813"/>
      <c r="O100" s="308" t="str">
        <f>IF(AND(D102&gt;D103, D102&lt;=D104), "TRUE")</f>
        <v>TRUE</v>
      </c>
      <c r="P100" s="308">
        <v>2</v>
      </c>
    </row>
    <row r="101" spans="2:18" s="177" customFormat="1" ht="15.95" hidden="1" customHeight="1" x14ac:dyDescent="0.15">
      <c r="B101" s="173"/>
      <c r="C101" s="168" t="s">
        <v>767</v>
      </c>
      <c r="D101" s="309">
        <f>D100/1000</f>
        <v>0</v>
      </c>
      <c r="E101" s="167" t="s">
        <v>783</v>
      </c>
      <c r="G101" s="813"/>
      <c r="H101" s="813"/>
      <c r="I101" s="813"/>
      <c r="O101" s="308" t="b">
        <f>IF(AND(D102&gt;D103, D102&gt;D104), "TRUE")</f>
        <v>0</v>
      </c>
      <c r="P101" s="308">
        <v>3</v>
      </c>
    </row>
    <row r="102" spans="2:18" s="177" customFormat="1" ht="15.95" hidden="1" customHeight="1" x14ac:dyDescent="0.15">
      <c r="B102" s="173" t="s">
        <v>931</v>
      </c>
      <c r="C102" s="168" t="s">
        <v>767</v>
      </c>
      <c r="D102" s="268">
        <f>D9</f>
        <v>1500</v>
      </c>
      <c r="E102" s="167" t="s">
        <v>780</v>
      </c>
      <c r="G102" s="813"/>
      <c r="H102" s="813"/>
      <c r="I102" s="813"/>
      <c r="L102" s="234" t="s">
        <v>976</v>
      </c>
      <c r="M102" s="193">
        <f>IF(D103&gt;=D102, 1, 2)</f>
        <v>2</v>
      </c>
      <c r="O102" s="308" t="b">
        <f>IF(AND(D102&lt;=D103, D102&lt;=D104), "TRUE")</f>
        <v>0</v>
      </c>
      <c r="P102" s="308">
        <v>4</v>
      </c>
    </row>
    <row r="103" spans="2:18" s="177" customFormat="1" ht="15.95" hidden="1" customHeight="1" x14ac:dyDescent="0.15">
      <c r="B103" s="173" t="s">
        <v>861</v>
      </c>
      <c r="C103" s="168" t="s">
        <v>767</v>
      </c>
      <c r="D103" s="268">
        <f>D10</f>
        <v>650</v>
      </c>
      <c r="E103" s="167" t="s">
        <v>780</v>
      </c>
      <c r="G103" s="813"/>
      <c r="H103" s="813"/>
      <c r="I103" s="813"/>
      <c r="L103" s="234" t="s">
        <v>977</v>
      </c>
      <c r="M103" s="193">
        <f>IF(D104&gt;=D102, 1, 2)</f>
        <v>1</v>
      </c>
    </row>
    <row r="104" spans="2:18" s="177" customFormat="1" ht="15.95" hidden="1" customHeight="1" x14ac:dyDescent="0.15">
      <c r="B104" s="173" t="s">
        <v>863</v>
      </c>
      <c r="C104" s="168" t="s">
        <v>767</v>
      </c>
      <c r="D104" s="268">
        <f>D11</f>
        <v>1700</v>
      </c>
      <c r="E104" s="167" t="s">
        <v>780</v>
      </c>
      <c r="G104" s="813"/>
      <c r="H104" s="813"/>
      <c r="I104" s="813"/>
      <c r="L104" s="234" t="s">
        <v>978</v>
      </c>
    </row>
    <row r="105" spans="2:18" s="177" customFormat="1" ht="15.95" hidden="1" customHeight="1" x14ac:dyDescent="0.15">
      <c r="B105" s="173" t="s">
        <v>849</v>
      </c>
      <c r="C105" s="168" t="s">
        <v>767</v>
      </c>
      <c r="D105" s="268">
        <f>D6</f>
        <v>69600</v>
      </c>
      <c r="E105" s="167" t="s">
        <v>850</v>
      </c>
      <c r="G105" s="813"/>
      <c r="H105" s="813"/>
      <c r="I105" s="813"/>
      <c r="L105" s="234" t="s">
        <v>979</v>
      </c>
    </row>
    <row r="106" spans="2:18" s="177" customFormat="1" ht="15.95" hidden="1" customHeight="1" x14ac:dyDescent="0.15">
      <c r="B106" s="173" t="s">
        <v>881</v>
      </c>
      <c r="C106" s="168" t="s">
        <v>767</v>
      </c>
      <c r="D106" s="268">
        <f>D22</f>
        <v>1671313.4310645724</v>
      </c>
      <c r="E106" s="177" t="s">
        <v>943</v>
      </c>
      <c r="G106" s="813"/>
      <c r="H106" s="813"/>
      <c r="I106" s="813"/>
    </row>
    <row r="107" spans="2:18" s="177" customFormat="1" ht="15.95" hidden="1" customHeight="1" x14ac:dyDescent="0.15">
      <c r="B107" s="173" t="s">
        <v>980</v>
      </c>
      <c r="C107" s="168" t="s">
        <v>767</v>
      </c>
      <c r="D107" s="173" t="str">
        <f>Q112</f>
        <v>W.L × a₁</v>
      </c>
      <c r="G107" s="813"/>
      <c r="H107" s="813"/>
      <c r="I107" s="813"/>
    </row>
    <row r="108" spans="2:18" s="177" customFormat="1" ht="15.95" hidden="1" customHeight="1" x14ac:dyDescent="0.15">
      <c r="B108" s="173"/>
      <c r="C108" s="168" t="s">
        <v>767</v>
      </c>
      <c r="D108" s="166">
        <f>Q111</f>
        <v>0</v>
      </c>
      <c r="E108" s="167" t="s">
        <v>946</v>
      </c>
      <c r="G108" s="813"/>
      <c r="H108" s="813"/>
      <c r="I108" s="813"/>
    </row>
    <row r="109" spans="2:18" s="177" customFormat="1" ht="15.95" hidden="1" customHeight="1" x14ac:dyDescent="0.15">
      <c r="B109" s="173" t="s">
        <v>981</v>
      </c>
      <c r="C109" s="168" t="s">
        <v>767</v>
      </c>
      <c r="D109" s="173" t="str">
        <f>Q114</f>
        <v>( W.L × L ) / 2</v>
      </c>
      <c r="G109" s="813"/>
      <c r="H109" s="813"/>
      <c r="I109" s="813"/>
    </row>
    <row r="110" spans="2:18" s="177" customFormat="1" ht="15.95" hidden="1" customHeight="1" x14ac:dyDescent="0.15">
      <c r="C110" s="168" t="s">
        <v>767</v>
      </c>
      <c r="D110" s="166">
        <f>Q113</f>
        <v>0</v>
      </c>
      <c r="E110" s="167" t="s">
        <v>946</v>
      </c>
      <c r="F110" s="426"/>
      <c r="G110" s="813"/>
      <c r="H110" s="813"/>
      <c r="I110" s="813"/>
    </row>
    <row r="111" spans="2:18" s="177" customFormat="1" ht="15.95" hidden="1" customHeight="1" x14ac:dyDescent="0.15">
      <c r="L111" s="371" t="s">
        <v>980</v>
      </c>
      <c r="M111" s="310" t="s">
        <v>982</v>
      </c>
      <c r="N111" s="311">
        <f>(D101*D102/2)</f>
        <v>0</v>
      </c>
      <c r="O111" s="312" t="s">
        <v>983</v>
      </c>
      <c r="Q111" s="313">
        <f>IF($D$103&gt;$D$102, N111, N112)</f>
        <v>0</v>
      </c>
      <c r="R111" s="314"/>
    </row>
    <row r="112" spans="2:18" s="177" customFormat="1" ht="15.95" hidden="1" customHeight="1" x14ac:dyDescent="0.15">
      <c r="B112" s="173" t="s">
        <v>984</v>
      </c>
      <c r="C112" s="168" t="s">
        <v>767</v>
      </c>
      <c r="D112" s="173" t="s">
        <v>985</v>
      </c>
      <c r="G112" s="173" t="s">
        <v>986</v>
      </c>
      <c r="H112" s="168" t="s">
        <v>767</v>
      </c>
      <c r="I112" s="173" t="s">
        <v>987</v>
      </c>
      <c r="L112" s="371"/>
      <c r="M112" s="310" t="s">
        <v>988</v>
      </c>
      <c r="N112" s="311">
        <f>D101*(D103/2)</f>
        <v>0</v>
      </c>
      <c r="O112" s="312" t="s">
        <v>989</v>
      </c>
      <c r="Q112" s="315" t="str">
        <f>IF($D$103&gt;=$D$102, O111, O112)</f>
        <v>W.L × a₁</v>
      </c>
      <c r="R112" s="314"/>
    </row>
    <row r="113" spans="2:21" s="177" customFormat="1" ht="15.95" hidden="1" customHeight="1" x14ac:dyDescent="0.15">
      <c r="B113" s="173"/>
      <c r="C113" s="168" t="s">
        <v>767</v>
      </c>
      <c r="D113" s="268">
        <f>D103/2</f>
        <v>325</v>
      </c>
      <c r="E113" s="167" t="s">
        <v>780</v>
      </c>
      <c r="G113" s="173"/>
      <c r="H113" s="168" t="s">
        <v>767</v>
      </c>
      <c r="I113" s="268">
        <f>D104/2</f>
        <v>850</v>
      </c>
      <c r="J113" s="167" t="s">
        <v>780</v>
      </c>
      <c r="L113" s="371" t="s">
        <v>981</v>
      </c>
      <c r="M113" s="310" t="s">
        <v>990</v>
      </c>
      <c r="N113" s="311">
        <f>(D101*D102/2)</f>
        <v>0</v>
      </c>
      <c r="O113" s="312" t="s">
        <v>983</v>
      </c>
      <c r="Q113" s="313">
        <f>IF($D$104&gt;$D$102, N113, N114)</f>
        <v>0</v>
      </c>
      <c r="R113" s="314"/>
    </row>
    <row r="114" spans="2:21" s="177" customFormat="1" ht="15.95" hidden="1" customHeight="1" x14ac:dyDescent="0.15">
      <c r="B114" s="173"/>
      <c r="C114" s="168"/>
      <c r="D114" s="217"/>
      <c r="G114" s="173"/>
      <c r="H114" s="168"/>
      <c r="I114" s="217"/>
      <c r="L114" s="173"/>
      <c r="M114" s="310" t="s">
        <v>991</v>
      </c>
      <c r="N114" s="311">
        <f>D101*(D104/2)</f>
        <v>0</v>
      </c>
      <c r="O114" s="312" t="s">
        <v>992</v>
      </c>
      <c r="Q114" s="315" t="str">
        <f>IF($D$104&gt;=$D$102, O113, O114)</f>
        <v>( W.L × L ) / 2</v>
      </c>
      <c r="R114" s="314"/>
    </row>
    <row r="115" spans="2:21" s="177" customFormat="1" ht="15.95" hidden="1" customHeight="1" x14ac:dyDescent="0.15">
      <c r="B115" s="197" t="s">
        <v>740</v>
      </c>
      <c r="Q115" s="316"/>
      <c r="R115" s="314"/>
    </row>
    <row r="116" spans="2:21" s="177" customFormat="1" ht="15.95" hidden="1" customHeight="1" x14ac:dyDescent="0.15">
      <c r="Q116" s="316"/>
      <c r="R116" s="314"/>
    </row>
    <row r="117" spans="2:21" s="177" customFormat="1" ht="15.95" hidden="1" customHeight="1" x14ac:dyDescent="0.15">
      <c r="B117" s="173" t="s">
        <v>954</v>
      </c>
      <c r="C117" s="168" t="s">
        <v>767</v>
      </c>
      <c r="D117" s="173" t="s">
        <v>955</v>
      </c>
      <c r="E117" s="168"/>
      <c r="G117" s="173" t="s">
        <v>956</v>
      </c>
      <c r="H117" s="168" t="s">
        <v>767</v>
      </c>
      <c r="I117" s="173" t="s">
        <v>957</v>
      </c>
      <c r="J117" s="168"/>
      <c r="L117" s="371" t="s">
        <v>954</v>
      </c>
      <c r="M117" s="310" t="s">
        <v>982</v>
      </c>
      <c r="N117" s="317">
        <f>(D108*D102)/4</f>
        <v>0</v>
      </c>
      <c r="O117" s="312" t="s">
        <v>993</v>
      </c>
      <c r="Q117" s="313">
        <f>IF($D$103&gt;$D$102, N117, N118)</f>
        <v>0</v>
      </c>
    </row>
    <row r="118" spans="2:21" s="177" customFormat="1" ht="15.95" hidden="1" customHeight="1" x14ac:dyDescent="0.15">
      <c r="B118" s="173"/>
      <c r="C118" s="168" t="s">
        <v>767</v>
      </c>
      <c r="D118" s="173" t="str">
        <f>Q118</f>
        <v>w₁ ( L - a₁ ) / 2</v>
      </c>
      <c r="E118" s="168"/>
      <c r="F118" s="173"/>
      <c r="G118" s="173"/>
      <c r="H118" s="168" t="s">
        <v>767</v>
      </c>
      <c r="I118" s="173" t="str">
        <f>Q120</f>
        <v>( w₂ × L ) / 4</v>
      </c>
      <c r="J118" s="168"/>
      <c r="L118" s="318"/>
      <c r="M118" s="310" t="s">
        <v>988</v>
      </c>
      <c r="N118" s="317">
        <f>(D108*(D102-D113)/2)</f>
        <v>0</v>
      </c>
      <c r="O118" s="312" t="s">
        <v>994</v>
      </c>
      <c r="Q118" s="315" t="str">
        <f>IF($D$103&gt;=$D$102, O117, O118)</f>
        <v>w₁ ( L - a₁ ) / 2</v>
      </c>
      <c r="R118" s="314"/>
    </row>
    <row r="119" spans="2:21" s="177" customFormat="1" ht="15.95" hidden="1" customHeight="1" x14ac:dyDescent="0.15">
      <c r="B119" s="173"/>
      <c r="C119" s="168" t="s">
        <v>767</v>
      </c>
      <c r="D119" s="268">
        <f>Q117</f>
        <v>0</v>
      </c>
      <c r="E119" s="202" t="s">
        <v>933</v>
      </c>
      <c r="F119" s="173"/>
      <c r="G119" s="173"/>
      <c r="H119" s="168" t="s">
        <v>767</v>
      </c>
      <c r="I119" s="268">
        <f>Q119</f>
        <v>0</v>
      </c>
      <c r="J119" s="202" t="s">
        <v>933</v>
      </c>
      <c r="L119" s="371" t="s">
        <v>956</v>
      </c>
      <c r="M119" s="310" t="s">
        <v>990</v>
      </c>
      <c r="N119" s="317">
        <f>(D110*D102)/4</f>
        <v>0</v>
      </c>
      <c r="O119" s="312" t="s">
        <v>995</v>
      </c>
      <c r="Q119" s="313">
        <f>IF($D$104&gt;$D$102, N119, N120)</f>
        <v>0</v>
      </c>
    </row>
    <row r="120" spans="2:21" s="177" customFormat="1" ht="15.95" hidden="1" customHeight="1" x14ac:dyDescent="0.15">
      <c r="B120" s="173"/>
      <c r="C120" s="168"/>
      <c r="D120" s="217"/>
      <c r="F120" s="173"/>
      <c r="G120" s="173"/>
      <c r="H120" s="168"/>
      <c r="I120" s="217"/>
      <c r="L120" s="202"/>
      <c r="M120" s="310" t="s">
        <v>991</v>
      </c>
      <c r="N120" s="317">
        <f>(D110*(D102-I113)/2)</f>
        <v>0</v>
      </c>
      <c r="O120" s="312" t="s">
        <v>996</v>
      </c>
      <c r="Q120" s="315" t="str">
        <f>IF($D$104&gt;=$D$102, O119, O120)</f>
        <v>( w₂ × L ) / 4</v>
      </c>
      <c r="R120" s="314"/>
    </row>
    <row r="121" spans="2:21" s="177" customFormat="1" ht="15.95" hidden="1" customHeight="1" x14ac:dyDescent="0.15">
      <c r="B121" s="173" t="s">
        <v>997</v>
      </c>
      <c r="C121" s="168" t="s">
        <v>767</v>
      </c>
      <c r="D121" s="173" t="s">
        <v>998</v>
      </c>
      <c r="F121" s="173"/>
      <c r="Q121" s="316"/>
      <c r="R121" s="314"/>
    </row>
    <row r="122" spans="2:21" s="177" customFormat="1" ht="15.95" hidden="1" customHeight="1" x14ac:dyDescent="0.15">
      <c r="B122" s="173"/>
      <c r="C122" s="168" t="s">
        <v>767</v>
      </c>
      <c r="D122" s="268">
        <f>D119+I119</f>
        <v>0</v>
      </c>
      <c r="E122" s="202" t="s">
        <v>933</v>
      </c>
      <c r="F122" s="173"/>
      <c r="L122" s="202"/>
      <c r="M122" s="172"/>
      <c r="Q122" s="316"/>
      <c r="R122" s="314"/>
    </row>
    <row r="123" spans="2:21" s="177" customFormat="1" ht="15.95" hidden="1" customHeight="1" x14ac:dyDescent="0.15">
      <c r="B123" s="173"/>
      <c r="C123" s="168"/>
      <c r="D123" s="173"/>
      <c r="E123" s="168"/>
      <c r="F123" s="173"/>
      <c r="L123" s="202"/>
      <c r="M123" s="318"/>
      <c r="N123" s="193"/>
      <c r="Q123" s="316"/>
      <c r="R123" s="314"/>
    </row>
    <row r="124" spans="2:21" s="177" customFormat="1" ht="15.95" hidden="1" customHeight="1" x14ac:dyDescent="0.15">
      <c r="B124" s="173" t="s">
        <v>999</v>
      </c>
      <c r="C124" s="168" t="s">
        <v>767</v>
      </c>
      <c r="D124" s="210" t="s">
        <v>1000</v>
      </c>
      <c r="E124" s="168"/>
      <c r="G124" s="167"/>
      <c r="L124" s="2"/>
      <c r="M124" s="150"/>
      <c r="N124" s="27"/>
      <c r="Q124" s="316"/>
      <c r="R124" s="314"/>
    </row>
    <row r="125" spans="2:21" s="177" customFormat="1" ht="15.95" hidden="1" customHeight="1" x14ac:dyDescent="0.15">
      <c r="B125" s="173"/>
      <c r="C125" s="168" t="s">
        <v>767</v>
      </c>
      <c r="D125" s="173" t="s">
        <v>997</v>
      </c>
      <c r="E125" s="168"/>
      <c r="F125" s="173"/>
      <c r="L125" s="2"/>
      <c r="M125" s="414"/>
      <c r="N125" s="2"/>
      <c r="Q125" s="316"/>
      <c r="R125" s="314"/>
      <c r="S125" s="301"/>
      <c r="T125" s="202"/>
      <c r="U125" s="301"/>
    </row>
    <row r="126" spans="2:21" s="177" customFormat="1" ht="15.95" hidden="1" customHeight="1" x14ac:dyDescent="0.15">
      <c r="B126" s="173"/>
      <c r="C126" s="168" t="s">
        <v>767</v>
      </c>
      <c r="D126" s="268">
        <f>D122</f>
        <v>0</v>
      </c>
      <c r="E126" s="202" t="s">
        <v>933</v>
      </c>
      <c r="F126" s="173"/>
      <c r="L126" s="2"/>
      <c r="M126" s="412"/>
      <c r="N126" s="27"/>
      <c r="Q126" s="316"/>
      <c r="R126" s="314"/>
      <c r="S126" s="301"/>
    </row>
    <row r="127" spans="2:21" s="177" customFormat="1" ht="15.95" hidden="1" customHeight="1" x14ac:dyDescent="0.15">
      <c r="B127" s="173"/>
      <c r="C127" s="168"/>
      <c r="D127" s="210"/>
      <c r="E127" s="168"/>
      <c r="F127" s="173"/>
      <c r="L127" s="2"/>
      <c r="M127" s="414"/>
      <c r="N127" s="2"/>
      <c r="O127" s="202"/>
      <c r="Q127" s="316"/>
      <c r="R127" s="314"/>
      <c r="S127" s="196"/>
    </row>
    <row r="128" spans="2:21" s="177" customFormat="1" ht="15.95" hidden="1" customHeight="1" x14ac:dyDescent="0.15">
      <c r="B128" s="173" t="s">
        <v>1001</v>
      </c>
      <c r="C128" s="168" t="s">
        <v>767</v>
      </c>
      <c r="D128" s="173" t="str">
        <f>Q129</f>
        <v>w₁ (  3L² - 4a₁² ) / 24</v>
      </c>
      <c r="E128" s="168"/>
      <c r="G128" s="173" t="s">
        <v>1002</v>
      </c>
      <c r="H128" s="168" t="s">
        <v>767</v>
      </c>
      <c r="I128" s="173" t="str">
        <f>Q131</f>
        <v>( w₂ × L²  ) / 12</v>
      </c>
      <c r="J128" s="202"/>
      <c r="L128" s="371" t="s">
        <v>1003</v>
      </c>
      <c r="M128" s="310" t="s">
        <v>982</v>
      </c>
      <c r="N128" s="319">
        <f>(D108*D102^2)/12</f>
        <v>0</v>
      </c>
      <c r="O128" s="320" t="s">
        <v>1004</v>
      </c>
      <c r="Q128" s="313">
        <f>IF($D$103&gt;$D$102, N128, N129)</f>
        <v>0</v>
      </c>
    </row>
    <row r="129" spans="1:20" s="177" customFormat="1" ht="15.95" hidden="1" customHeight="1" x14ac:dyDescent="0.15">
      <c r="B129" s="173"/>
      <c r="C129" s="168" t="s">
        <v>767</v>
      </c>
      <c r="D129" s="268">
        <f>Q128</f>
        <v>0</v>
      </c>
      <c r="E129" s="167" t="s">
        <v>967</v>
      </c>
      <c r="G129" s="173"/>
      <c r="H129" s="168" t="s">
        <v>767</v>
      </c>
      <c r="I129" s="268">
        <f>Q130</f>
        <v>0</v>
      </c>
      <c r="J129" s="167" t="s">
        <v>967</v>
      </c>
      <c r="L129" s="318"/>
      <c r="M129" s="310" t="s">
        <v>988</v>
      </c>
      <c r="N129" s="319">
        <f>D108*(3*D102^2-4*D113^2)/24</f>
        <v>0</v>
      </c>
      <c r="O129" s="320" t="s">
        <v>1005</v>
      </c>
      <c r="Q129" s="315" t="str">
        <f>IF($D$103&gt;=$D$102, O128, O129)</f>
        <v>w₁ (  3L² - 4a₁² ) / 24</v>
      </c>
      <c r="R129" s="314"/>
    </row>
    <row r="130" spans="1:20" s="177" customFormat="1" ht="15.95" hidden="1" customHeight="1" x14ac:dyDescent="0.15">
      <c r="B130" s="173"/>
      <c r="C130" s="168"/>
      <c r="D130" s="217"/>
      <c r="E130" s="202"/>
      <c r="L130" s="371" t="s">
        <v>1006</v>
      </c>
      <c r="M130" s="310" t="s">
        <v>990</v>
      </c>
      <c r="N130" s="319">
        <f>(D110*D102^2)/12</f>
        <v>0</v>
      </c>
      <c r="O130" s="320" t="s">
        <v>1007</v>
      </c>
      <c r="Q130" s="313">
        <f>IF($D$104&gt;$D$102, N130, N131)</f>
        <v>0</v>
      </c>
    </row>
    <row r="131" spans="1:20" s="177" customFormat="1" ht="15.95" hidden="1" customHeight="1" x14ac:dyDescent="0.15">
      <c r="B131" s="173" t="s">
        <v>867</v>
      </c>
      <c r="C131" s="168" t="s">
        <v>767</v>
      </c>
      <c r="D131" s="178" t="s">
        <v>1008</v>
      </c>
      <c r="E131" s="202"/>
      <c r="L131" s="202"/>
      <c r="M131" s="310" t="s">
        <v>991</v>
      </c>
      <c r="N131" s="319">
        <f>D110*(3*D102^2-4*I113^2)/24</f>
        <v>0</v>
      </c>
      <c r="O131" s="320" t="s">
        <v>1009</v>
      </c>
      <c r="Q131" s="315" t="str">
        <f>IF($D$104&gt;=$D$102, O130, O131)</f>
        <v>( w₂ × L²  ) / 12</v>
      </c>
      <c r="R131" s="314"/>
    </row>
    <row r="132" spans="1:20" s="177" customFormat="1" ht="15.95" hidden="1" customHeight="1" x14ac:dyDescent="0.15">
      <c r="B132" s="173"/>
      <c r="C132" s="168" t="s">
        <v>767</v>
      </c>
      <c r="D132" s="302">
        <f>(D129+I129)</f>
        <v>0</v>
      </c>
      <c r="E132" s="202" t="s">
        <v>1078</v>
      </c>
      <c r="L132" s="203"/>
      <c r="M132" s="318"/>
      <c r="N132" s="203"/>
      <c r="Q132" s="316"/>
      <c r="R132" s="314"/>
    </row>
    <row r="133" spans="1:20" s="177" customFormat="1" ht="15.95" hidden="1" customHeight="1" x14ac:dyDescent="0.15">
      <c r="B133" s="173"/>
      <c r="C133" s="168"/>
      <c r="D133" s="173"/>
      <c r="E133" s="168"/>
      <c r="M133" s="318"/>
      <c r="Q133" s="316"/>
      <c r="R133" s="314"/>
    </row>
    <row r="134" spans="1:20" s="177" customFormat="1" ht="15.95" hidden="1" customHeight="1" x14ac:dyDescent="0.15">
      <c r="B134" s="173" t="s">
        <v>1010</v>
      </c>
      <c r="C134" s="168" t="s">
        <v>767</v>
      </c>
      <c r="D134" s="173" t="str">
        <f>Q135</f>
        <v>w₁ ( 5L² - 4a₁² )² / 1920EI</v>
      </c>
      <c r="F134" s="203"/>
      <c r="G134" s="173" t="s">
        <v>1011</v>
      </c>
      <c r="H134" s="168" t="s">
        <v>767</v>
      </c>
      <c r="I134" s="173" t="str">
        <f>Q137</f>
        <v>( w₂× L⁴ ) / 120 EI</v>
      </c>
      <c r="L134" s="371" t="s">
        <v>1003</v>
      </c>
      <c r="M134" s="310" t="s">
        <v>982</v>
      </c>
      <c r="N134" s="321">
        <f>(D108*D102^4)/(120*D105*D106)</f>
        <v>0</v>
      </c>
      <c r="O134" s="320" t="s">
        <v>1012</v>
      </c>
      <c r="Q134" s="322">
        <f>IF($D$103&gt;$D$102, N134, N135)</f>
        <v>0</v>
      </c>
    </row>
    <row r="135" spans="1:20" s="177" customFormat="1" ht="15.95" hidden="1" customHeight="1" x14ac:dyDescent="0.15">
      <c r="C135" s="168" t="s">
        <v>767</v>
      </c>
      <c r="D135" s="166">
        <f>Q134</f>
        <v>0</v>
      </c>
      <c r="E135" s="167" t="s">
        <v>780</v>
      </c>
      <c r="H135" s="168" t="s">
        <v>767</v>
      </c>
      <c r="I135" s="166">
        <f>Q136</f>
        <v>0</v>
      </c>
      <c r="J135" s="167" t="s">
        <v>780</v>
      </c>
      <c r="L135" s="318"/>
      <c r="M135" s="310" t="s">
        <v>988</v>
      </c>
      <c r="N135" s="321">
        <f>D108*(5*D102^2-4*D113^2)^2/(1920*D105*D106)</f>
        <v>0</v>
      </c>
      <c r="O135" s="320" t="s">
        <v>1013</v>
      </c>
      <c r="Q135" s="315" t="str">
        <f>IF($D$103&gt;=$D$102, O134, O135)</f>
        <v>w₁ ( 5L² - 4a₁² )² / 1920EI</v>
      </c>
      <c r="R135" s="314"/>
    </row>
    <row r="136" spans="1:20" s="177" customFormat="1" ht="15.95" hidden="1" customHeight="1" x14ac:dyDescent="0.15">
      <c r="C136" s="318"/>
      <c r="D136" s="299"/>
      <c r="I136" s="196"/>
      <c r="L136" s="371" t="s">
        <v>1006</v>
      </c>
      <c r="M136" s="310" t="s">
        <v>990</v>
      </c>
      <c r="N136" s="321">
        <f>(D110*D102^4)/(120*D105*D106)</f>
        <v>0</v>
      </c>
      <c r="O136" s="320" t="s">
        <v>1014</v>
      </c>
      <c r="Q136" s="322">
        <f>IF($D$104&gt;$D$102, N136, N137)</f>
        <v>0</v>
      </c>
    </row>
    <row r="137" spans="1:20" s="177" customFormat="1" ht="15.95" hidden="1" customHeight="1" x14ac:dyDescent="0.15">
      <c r="B137" s="173" t="s">
        <v>870</v>
      </c>
      <c r="C137" s="168" t="s">
        <v>767</v>
      </c>
      <c r="D137" s="173" t="s">
        <v>1015</v>
      </c>
      <c r="I137" s="196"/>
      <c r="L137" s="202"/>
      <c r="M137" s="310" t="s">
        <v>991</v>
      </c>
      <c r="N137" s="321">
        <f>D110*(5*D102^2-4*I113^2)^2/(1920*D105*D106)</f>
        <v>0</v>
      </c>
      <c r="O137" s="320" t="s">
        <v>1016</v>
      </c>
      <c r="Q137" s="315" t="str">
        <f>IF($D$104&gt;=$D$102, O136, O137)</f>
        <v>( w₂× L⁴ ) / 120 EI</v>
      </c>
      <c r="R137" s="314"/>
    </row>
    <row r="138" spans="1:20" s="177" customFormat="1" ht="15.95" hidden="1" customHeight="1" x14ac:dyDescent="0.15">
      <c r="C138" s="168" t="s">
        <v>767</v>
      </c>
      <c r="D138" s="323">
        <f>D135+I135</f>
        <v>0</v>
      </c>
      <c r="E138" s="167" t="s">
        <v>780</v>
      </c>
      <c r="I138" s="196"/>
    </row>
    <row r="139" spans="1:20" s="177" customFormat="1" ht="15.95" hidden="1" customHeight="1" x14ac:dyDescent="0.15">
      <c r="A139" s="167"/>
      <c r="B139" s="3" t="s">
        <v>1017</v>
      </c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8"/>
      <c r="N139" s="168"/>
      <c r="O139" s="198"/>
    </row>
    <row r="140" spans="1:20" s="177" customFormat="1" ht="15.95" hidden="1" customHeight="1" x14ac:dyDescent="0.15">
      <c r="A140" s="167"/>
      <c r="B140" s="167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325"/>
      <c r="N140" s="168"/>
      <c r="O140" s="198"/>
    </row>
    <row r="141" spans="1:20" s="177" customFormat="1" ht="15.95" hidden="1" customHeight="1" x14ac:dyDescent="0.15">
      <c r="A141" s="167"/>
      <c r="B141" s="177" t="s">
        <v>919</v>
      </c>
      <c r="C141" s="167"/>
      <c r="D141" s="167"/>
      <c r="E141" s="167"/>
      <c r="F141" s="167"/>
      <c r="G141" s="167"/>
      <c r="H141" s="167"/>
      <c r="I141" s="167"/>
      <c r="J141" s="167"/>
      <c r="K141" s="167"/>
      <c r="L141" s="336" t="s">
        <v>1018</v>
      </c>
      <c r="M141" s="337">
        <f>$G$6</f>
        <v>5</v>
      </c>
      <c r="N141" s="325"/>
      <c r="O141" s="326"/>
    </row>
    <row r="142" spans="1:20" s="338" customFormat="1" ht="15.95" hidden="1" customHeight="1" x14ac:dyDescent="0.15">
      <c r="J142" s="339"/>
      <c r="K142" s="339"/>
      <c r="L142" s="167"/>
      <c r="M142" s="325"/>
      <c r="N142" s="325"/>
      <c r="O142" s="325"/>
    </row>
    <row r="143" spans="1:20" s="195" customFormat="1" ht="15.95" hidden="1" customHeight="1" x14ac:dyDescent="0.15">
      <c r="A143" s="177"/>
      <c r="B143" s="340" t="s">
        <v>1019</v>
      </c>
      <c r="C143" s="340"/>
      <c r="G143" s="198" t="s">
        <v>1020</v>
      </c>
      <c r="H143" s="425"/>
      <c r="I143" s="198"/>
      <c r="J143" s="175"/>
      <c r="K143" s="166"/>
      <c r="L143" s="166"/>
      <c r="M143" s="283" t="s">
        <v>1021</v>
      </c>
      <c r="N143" s="341">
        <v>14</v>
      </c>
      <c r="O143" s="177"/>
      <c r="P143" s="338"/>
      <c r="Q143" s="338"/>
      <c r="R143" s="177"/>
      <c r="S143" s="338"/>
      <c r="T143" s="338"/>
    </row>
    <row r="144" spans="1:20" s="195" customFormat="1" ht="15.95" hidden="1" customHeight="1" x14ac:dyDescent="0.15">
      <c r="A144" s="166"/>
      <c r="B144" s="340"/>
      <c r="C144" s="166"/>
      <c r="D144" s="166"/>
      <c r="E144" s="166"/>
      <c r="F144" s="338"/>
      <c r="G144" s="325"/>
      <c r="H144" s="338"/>
      <c r="I144" s="166"/>
      <c r="J144" s="340"/>
      <c r="K144" s="166"/>
      <c r="L144" s="205" t="s">
        <v>1018</v>
      </c>
      <c r="M144" s="342">
        <v>5</v>
      </c>
      <c r="N144" s="342">
        <v>6</v>
      </c>
      <c r="O144" s="338"/>
      <c r="P144" s="814" t="s">
        <v>1022</v>
      </c>
      <c r="Q144" s="815"/>
      <c r="R144" s="807" t="s">
        <v>1023</v>
      </c>
      <c r="S144" s="808"/>
      <c r="T144" s="809"/>
    </row>
    <row r="145" spans="1:20" s="195" customFormat="1" ht="15.95" hidden="1" customHeight="1" x14ac:dyDescent="0.15">
      <c r="A145" s="166"/>
      <c r="B145" s="370" t="s">
        <v>1024</v>
      </c>
      <c r="C145" s="168" t="s">
        <v>767</v>
      </c>
      <c r="D145" s="268">
        <f>D9</f>
        <v>1500</v>
      </c>
      <c r="E145" s="166" t="s">
        <v>1025</v>
      </c>
      <c r="F145" s="166"/>
      <c r="G145" s="343" t="s">
        <v>1026</v>
      </c>
      <c r="H145" s="823" t="s">
        <v>341</v>
      </c>
      <c r="I145" s="824">
        <f>2*D145*D147/(SQRT(D146*D148))</f>
        <v>34.666018053174987</v>
      </c>
      <c r="K145" s="166"/>
      <c r="L145" s="166"/>
      <c r="M145" s="344">
        <v>0</v>
      </c>
      <c r="N145" s="344">
        <v>0</v>
      </c>
      <c r="O145" s="325" t="s">
        <v>1027</v>
      </c>
      <c r="P145" s="345" t="s">
        <v>1028</v>
      </c>
      <c r="Q145" s="346" t="s">
        <v>1029</v>
      </c>
      <c r="R145" s="347">
        <v>1</v>
      </c>
      <c r="S145" s="348">
        <f>IF($G$6=5, M145, N145)</f>
        <v>0</v>
      </c>
      <c r="T145" s="346" t="str">
        <f>O145</f>
        <v>S  ≤  S₁</v>
      </c>
    </row>
    <row r="146" spans="1:20" s="195" customFormat="1" ht="15.95" hidden="1" customHeight="1" x14ac:dyDescent="0.15">
      <c r="A146" s="166"/>
      <c r="B146" s="370" t="s">
        <v>881</v>
      </c>
      <c r="C146" s="168" t="s">
        <v>767</v>
      </c>
      <c r="D146" s="268">
        <f>D22</f>
        <v>1671313.4310645724</v>
      </c>
      <c r="E146" s="166" t="s">
        <v>943</v>
      </c>
      <c r="F146" s="166"/>
      <c r="G146" s="349" t="s">
        <v>1030</v>
      </c>
      <c r="H146" s="825"/>
      <c r="I146" s="826"/>
      <c r="J146" s="350"/>
      <c r="K146" s="166"/>
      <c r="L146" s="166"/>
      <c r="M146" s="351">
        <v>0</v>
      </c>
      <c r="N146" s="351">
        <v>0</v>
      </c>
      <c r="O146" s="325" t="s">
        <v>1031</v>
      </c>
      <c r="P146" s="352">
        <f>IF($G$6=5, M146,N146)</f>
        <v>0</v>
      </c>
      <c r="Q146" s="353">
        <f>IF($G$6=5,M148,N148)</f>
        <v>3823</v>
      </c>
      <c r="R146" s="354">
        <v>2</v>
      </c>
      <c r="S146" s="355">
        <f>IF($G$6=5, M147, N147)</f>
        <v>10.087855015242745</v>
      </c>
      <c r="T146" s="356" t="str">
        <f>O147</f>
        <v>S₁&lt;  S  &lt; S₂</v>
      </c>
    </row>
    <row r="147" spans="1:20" s="195" customFormat="1" ht="15.95" hidden="1" customHeight="1" x14ac:dyDescent="0.15">
      <c r="B147" s="370" t="s">
        <v>886</v>
      </c>
      <c r="C147" s="168" t="s">
        <v>767</v>
      </c>
      <c r="D147" s="268">
        <f>D25</f>
        <v>15413.288888888888</v>
      </c>
      <c r="E147" s="166" t="s">
        <v>1032</v>
      </c>
      <c r="G147" s="370" t="str">
        <f>T149</f>
        <v>S₁&lt;  S  &lt; S₂</v>
      </c>
      <c r="J147" s="166"/>
      <c r="K147" s="166"/>
      <c r="L147" s="166"/>
      <c r="M147" s="351">
        <f>10.5-0.07*SQRT(I145)</f>
        <v>10.087855015242745</v>
      </c>
      <c r="N147" s="351">
        <f>16.7-0.14*SQRT(I145)</f>
        <v>15.875710030485491</v>
      </c>
      <c r="O147" s="325" t="s">
        <v>1033</v>
      </c>
      <c r="P147" s="357" t="s">
        <v>1034</v>
      </c>
      <c r="Q147" s="358"/>
      <c r="R147" s="359">
        <v>3</v>
      </c>
      <c r="S147" s="360">
        <f>IF($G$6=5, M149, N149)</f>
        <v>680.75312150939749</v>
      </c>
      <c r="T147" s="353" t="str">
        <f>O149</f>
        <v>S  ≥  S₂</v>
      </c>
    </row>
    <row r="148" spans="1:20" s="195" customFormat="1" ht="15.95" hidden="1" customHeight="1" thickBot="1" x14ac:dyDescent="0.2">
      <c r="A148" s="166"/>
      <c r="B148" s="370" t="s">
        <v>890</v>
      </c>
      <c r="C148" s="168" t="s">
        <v>767</v>
      </c>
      <c r="D148" s="268">
        <f>D27</f>
        <v>1064553.0909090908</v>
      </c>
      <c r="E148" s="166" t="s">
        <v>943</v>
      </c>
      <c r="F148" s="205"/>
      <c r="H148" s="205"/>
      <c r="I148" s="166"/>
      <c r="J148" s="166"/>
      <c r="K148" s="166"/>
      <c r="L148" s="166"/>
      <c r="M148" s="351">
        <v>3823</v>
      </c>
      <c r="N148" s="351">
        <v>2400</v>
      </c>
      <c r="O148" s="325" t="s">
        <v>1035</v>
      </c>
      <c r="P148" s="346" t="s">
        <v>1036</v>
      </c>
      <c r="Q148" s="338"/>
      <c r="R148" s="338"/>
      <c r="S148" s="338"/>
      <c r="T148" s="338"/>
    </row>
    <row r="149" spans="1:20" s="195" customFormat="1" ht="15.95" hidden="1" customHeight="1" thickBot="1" x14ac:dyDescent="0.2">
      <c r="A149" s="166"/>
      <c r="B149" s="370" t="s">
        <v>1037</v>
      </c>
      <c r="C149" s="168" t="s">
        <v>767</v>
      </c>
      <c r="D149" s="217">
        <f>S149</f>
        <v>10.087855015242745</v>
      </c>
      <c r="E149" s="166" t="s">
        <v>232</v>
      </c>
      <c r="F149" s="205"/>
      <c r="K149" s="166"/>
      <c r="L149" s="166"/>
      <c r="M149" s="361">
        <f>23599/I145</f>
        <v>680.75312150939749</v>
      </c>
      <c r="N149" s="361">
        <f>23599/I145</f>
        <v>680.75312150939749</v>
      </c>
      <c r="O149" s="325" t="s">
        <v>1038</v>
      </c>
      <c r="P149" s="362">
        <f>I145</f>
        <v>34.666018053174987</v>
      </c>
      <c r="R149" s="363">
        <f>IF(P149&lt;=P146,1,IF(AND(P149&gt;P146,P149&lt;Q146),2,3))</f>
        <v>2</v>
      </c>
      <c r="S149" s="364">
        <f>VLOOKUP(R149, R145:S147, 2, FALSE)</f>
        <v>10.087855015242745</v>
      </c>
      <c r="T149" s="365" t="str">
        <f>VLOOKUP(R149,R145:T147, 3, FALSE)</f>
        <v>S₁&lt;  S  &lt; S₂</v>
      </c>
    </row>
    <row r="150" spans="1:20" s="195" customFormat="1" ht="15.95" hidden="1" customHeight="1" x14ac:dyDescent="0.15">
      <c r="A150" s="166"/>
      <c r="C150" s="168" t="s">
        <v>767</v>
      </c>
      <c r="D150" s="217">
        <f>D149*6.894757</f>
        <v>69.553308981330019</v>
      </c>
      <c r="E150" s="166" t="s">
        <v>783</v>
      </c>
      <c r="F150" s="205"/>
      <c r="G150" s="205"/>
      <c r="H150" s="205"/>
      <c r="I150" s="166"/>
      <c r="J150" s="166"/>
      <c r="K150" s="166"/>
      <c r="L150" s="166"/>
      <c r="P150" s="338"/>
      <c r="Q150" s="338"/>
      <c r="R150" s="338"/>
    </row>
    <row r="151" spans="1:20" s="338" customFormat="1" ht="15.95" hidden="1" customHeight="1" x14ac:dyDescent="0.15">
      <c r="A151" s="166"/>
      <c r="E151" s="205"/>
      <c r="F151" s="205"/>
      <c r="G151" s="205"/>
      <c r="H151" s="205"/>
      <c r="I151" s="166"/>
      <c r="J151" s="166"/>
      <c r="K151" s="166"/>
      <c r="L151" s="166"/>
      <c r="P151" s="195"/>
      <c r="Q151" s="195"/>
      <c r="R151" s="195"/>
    </row>
    <row r="152" spans="1:20" s="195" customFormat="1" ht="15.95" hidden="1" customHeight="1" x14ac:dyDescent="0.15">
      <c r="A152" s="166"/>
      <c r="B152" s="166"/>
      <c r="C152" s="166"/>
      <c r="D152" s="166"/>
      <c r="E152" s="166"/>
      <c r="F152" s="205"/>
      <c r="G152" s="166"/>
      <c r="H152" s="205"/>
      <c r="I152" s="166"/>
      <c r="J152" s="166"/>
      <c r="K152" s="166"/>
      <c r="L152" s="166"/>
    </row>
    <row r="153" spans="1:20" s="195" customFormat="1" ht="15.95" hidden="1" customHeight="1" x14ac:dyDescent="0.15">
      <c r="A153" s="177"/>
      <c r="B153" s="340" t="s">
        <v>1039</v>
      </c>
      <c r="C153" s="340"/>
      <c r="D153" s="340"/>
      <c r="E153" s="340"/>
      <c r="G153" s="198" t="s">
        <v>1040</v>
      </c>
      <c r="H153" s="425"/>
      <c r="I153" s="205"/>
      <c r="J153" s="175"/>
      <c r="K153" s="177"/>
      <c r="L153" s="166"/>
      <c r="M153" s="283" t="s">
        <v>1021</v>
      </c>
      <c r="N153" s="341">
        <v>16</v>
      </c>
      <c r="O153" s="177"/>
      <c r="P153" s="338"/>
      <c r="Q153" s="338"/>
      <c r="R153" s="177"/>
      <c r="S153" s="338"/>
      <c r="T153" s="338"/>
    </row>
    <row r="154" spans="1:20" s="195" customFormat="1" ht="15.95" hidden="1" customHeight="1" x14ac:dyDescent="0.15">
      <c r="A154" s="177"/>
      <c r="B154" s="340"/>
      <c r="C154" s="340"/>
      <c r="D154" s="340"/>
      <c r="E154" s="340"/>
      <c r="F154" s="340"/>
      <c r="G154" s="340"/>
      <c r="H154" s="340"/>
      <c r="I154" s="177"/>
      <c r="J154" s="202"/>
      <c r="K154" s="177"/>
      <c r="L154" s="205" t="s">
        <v>1018</v>
      </c>
      <c r="M154" s="342">
        <v>5</v>
      </c>
      <c r="N154" s="342">
        <v>6</v>
      </c>
      <c r="O154" s="338"/>
      <c r="P154" s="814" t="s">
        <v>1022</v>
      </c>
      <c r="Q154" s="815"/>
      <c r="R154" s="807" t="s">
        <v>1023</v>
      </c>
      <c r="S154" s="808"/>
      <c r="T154" s="809"/>
    </row>
    <row r="155" spans="1:20" s="195" customFormat="1" ht="15.95" hidden="1" customHeight="1" x14ac:dyDescent="0.15">
      <c r="A155" s="177"/>
      <c r="B155" s="370" t="s">
        <v>898</v>
      </c>
      <c r="C155" s="168" t="s">
        <v>767</v>
      </c>
      <c r="D155" s="217">
        <f>G34</f>
        <v>116</v>
      </c>
      <c r="E155" s="166" t="s">
        <v>1025</v>
      </c>
      <c r="F155" s="166"/>
      <c r="G155" s="370" t="str">
        <f>T159</f>
        <v>S  ≥  S₂</v>
      </c>
      <c r="K155" s="177"/>
      <c r="L155" s="166"/>
      <c r="M155" s="344">
        <v>9.6999999999999993</v>
      </c>
      <c r="N155" s="344">
        <v>15.2</v>
      </c>
      <c r="O155" s="325" t="s">
        <v>1027</v>
      </c>
      <c r="P155" s="345" t="s">
        <v>1028</v>
      </c>
      <c r="Q155" s="346" t="s">
        <v>1029</v>
      </c>
      <c r="R155" s="347">
        <v>1</v>
      </c>
      <c r="S155" s="348">
        <f>IF($G$6=5, M155, N155)</f>
        <v>9.6999999999999993</v>
      </c>
      <c r="T155" s="346" t="str">
        <f>O155</f>
        <v>S  ≤  S₁</v>
      </c>
    </row>
    <row r="156" spans="1:20" s="195" customFormat="1" ht="15.95" hidden="1" customHeight="1" x14ac:dyDescent="0.15">
      <c r="A156" s="177"/>
      <c r="B156" s="370" t="s">
        <v>896</v>
      </c>
      <c r="C156" s="168" t="s">
        <v>767</v>
      </c>
      <c r="D156" s="217">
        <f>D34</f>
        <v>2</v>
      </c>
      <c r="E156" s="166" t="s">
        <v>1025</v>
      </c>
      <c r="F156" s="338"/>
      <c r="G156" s="166"/>
      <c r="H156" s="166"/>
      <c r="I156" s="177"/>
      <c r="J156" s="177"/>
      <c r="K156" s="217"/>
      <c r="L156" s="166"/>
      <c r="M156" s="351">
        <v>25.6</v>
      </c>
      <c r="N156" s="351">
        <v>22.8</v>
      </c>
      <c r="O156" s="325" t="s">
        <v>1031</v>
      </c>
      <c r="P156" s="352">
        <f>IF($G$6=5, M156,N156)</f>
        <v>25.6</v>
      </c>
      <c r="Q156" s="353">
        <f>IF($G$6=5,M158,N158)</f>
        <v>50</v>
      </c>
      <c r="R156" s="354">
        <v>2</v>
      </c>
      <c r="S156" s="355">
        <f>IF($G$6=5, M157, N157)</f>
        <v>6.9860000000000007</v>
      </c>
      <c r="T156" s="356" t="str">
        <f>O157</f>
        <v>S₁&lt;  S  &lt; S₂</v>
      </c>
    </row>
    <row r="157" spans="1:20" s="195" customFormat="1" ht="15.95" hidden="1" customHeight="1" x14ac:dyDescent="0.15">
      <c r="A157" s="177"/>
      <c r="B157" s="370" t="s">
        <v>1041</v>
      </c>
      <c r="C157" s="168" t="s">
        <v>767</v>
      </c>
      <c r="D157" s="217">
        <f>D155/D156</f>
        <v>58</v>
      </c>
      <c r="E157" s="166"/>
      <c r="F157" s="177"/>
      <c r="H157" s="177"/>
      <c r="I157" s="177"/>
      <c r="J157" s="177"/>
      <c r="K157" s="177"/>
      <c r="L157" s="166"/>
      <c r="M157" s="351">
        <f>11.8-0.083*D157</f>
        <v>6.9860000000000007</v>
      </c>
      <c r="N157" s="351">
        <f>19-0.17*(D157)</f>
        <v>9.1399999999999988</v>
      </c>
      <c r="O157" s="325" t="s">
        <v>1033</v>
      </c>
      <c r="P157" s="357" t="s">
        <v>1034</v>
      </c>
      <c r="Q157" s="358"/>
      <c r="R157" s="359">
        <v>3</v>
      </c>
      <c r="S157" s="360">
        <f>IF($G$6=5, M159, N159)</f>
        <v>6.5862068965517242</v>
      </c>
      <c r="T157" s="353" t="str">
        <f>O159</f>
        <v>S  ≥  S₂</v>
      </c>
    </row>
    <row r="158" spans="1:20" s="195" customFormat="1" ht="15.95" hidden="1" customHeight="1" thickBot="1" x14ac:dyDescent="0.2">
      <c r="A158" s="177"/>
      <c r="B158" s="370" t="s">
        <v>1042</v>
      </c>
      <c r="C158" s="168" t="s">
        <v>767</v>
      </c>
      <c r="D158" s="217">
        <f>S159</f>
        <v>6.5862068965517242</v>
      </c>
      <c r="E158" s="166" t="s">
        <v>232</v>
      </c>
      <c r="F158" s="177"/>
      <c r="G158" s="177"/>
      <c r="H158" s="177"/>
      <c r="I158" s="177"/>
      <c r="J158" s="166"/>
      <c r="K158" s="177"/>
      <c r="L158" s="166"/>
      <c r="M158" s="351">
        <v>50</v>
      </c>
      <c r="N158" s="351">
        <v>39</v>
      </c>
      <c r="O158" s="325" t="s">
        <v>1035</v>
      </c>
      <c r="P158" s="346" t="s">
        <v>1036</v>
      </c>
      <c r="Q158" s="338"/>
      <c r="R158" s="338"/>
      <c r="S158" s="338"/>
      <c r="T158" s="338"/>
    </row>
    <row r="159" spans="1:20" s="338" customFormat="1" ht="15.95" hidden="1" customHeight="1" thickBot="1" x14ac:dyDescent="0.2">
      <c r="A159" s="177"/>
      <c r="B159" s="198"/>
      <c r="C159" s="168" t="s">
        <v>767</v>
      </c>
      <c r="D159" s="217">
        <f>D158*6.894757</f>
        <v>45.410296103448275</v>
      </c>
      <c r="E159" s="166" t="s">
        <v>783</v>
      </c>
      <c r="F159" s="177"/>
      <c r="G159" s="177"/>
      <c r="H159" s="177"/>
      <c r="I159" s="177"/>
      <c r="J159" s="166"/>
      <c r="K159" s="177"/>
      <c r="L159" s="166"/>
      <c r="M159" s="361">
        <f>382/D157</f>
        <v>6.5862068965517242</v>
      </c>
      <c r="N159" s="361">
        <f>484/D157</f>
        <v>8.3448275862068968</v>
      </c>
      <c r="O159" s="325" t="s">
        <v>1038</v>
      </c>
      <c r="P159" s="362">
        <f>D157</f>
        <v>58</v>
      </c>
      <c r="Q159" s="366"/>
      <c r="R159" s="363">
        <f>IF(P159&lt;=P156,1,IF(AND(P159&gt;P156,P159&lt;Q156),2,3))</f>
        <v>3</v>
      </c>
      <c r="S159" s="364">
        <f>VLOOKUP(R159, R155:S157, 2, FALSE)</f>
        <v>6.5862068965517242</v>
      </c>
      <c r="T159" s="365" t="str">
        <f>VLOOKUP(R159,R155:T157, 3, FALSE)</f>
        <v>S  ≥  S₂</v>
      </c>
    </row>
    <row r="160" spans="1:20" s="338" customFormat="1" ht="15.95" hidden="1" customHeight="1" x14ac:dyDescent="0.15">
      <c r="A160" s="177"/>
      <c r="C160" s="196"/>
      <c r="D160" s="166"/>
      <c r="E160" s="166"/>
      <c r="F160" s="177"/>
      <c r="G160" s="177"/>
      <c r="H160" s="177"/>
      <c r="I160" s="177"/>
      <c r="J160" s="166"/>
      <c r="K160" s="177"/>
      <c r="L160" s="177"/>
    </row>
    <row r="161" spans="1:20" s="338" customFormat="1" ht="15.95" hidden="1" customHeight="1" x14ac:dyDescent="0.15">
      <c r="A161" s="177"/>
      <c r="C161" s="196"/>
      <c r="D161" s="166"/>
      <c r="E161" s="166"/>
      <c r="F161" s="177"/>
      <c r="G161" s="177"/>
      <c r="H161" s="177"/>
      <c r="I161" s="177"/>
      <c r="J161" s="166"/>
      <c r="K161" s="177"/>
      <c r="L161" s="177"/>
      <c r="M161" s="367"/>
      <c r="N161" s="339"/>
      <c r="O161" s="368"/>
    </row>
    <row r="162" spans="1:20" s="338" customFormat="1" ht="15.95" hidden="1" customHeight="1" x14ac:dyDescent="0.15">
      <c r="A162" s="177"/>
      <c r="B162" s="340" t="s">
        <v>1039</v>
      </c>
      <c r="C162" s="340"/>
      <c r="D162" s="340"/>
      <c r="E162" s="340"/>
      <c r="F162" s="340"/>
      <c r="G162" s="198" t="s">
        <v>1043</v>
      </c>
      <c r="H162" s="425"/>
      <c r="I162" s="177"/>
      <c r="J162" s="202"/>
      <c r="K162" s="177"/>
      <c r="L162" s="166"/>
      <c r="M162" s="283" t="s">
        <v>1021</v>
      </c>
      <c r="N162" s="341">
        <v>18</v>
      </c>
      <c r="O162" s="177"/>
      <c r="R162" s="177"/>
    </row>
    <row r="163" spans="1:20" s="338" customFormat="1" ht="15.95" hidden="1" customHeight="1" x14ac:dyDescent="0.15">
      <c r="A163" s="177"/>
      <c r="B163" s="340"/>
      <c r="C163" s="340"/>
      <c r="D163" s="340"/>
      <c r="E163" s="340"/>
      <c r="F163" s="340"/>
      <c r="G163" s="340"/>
      <c r="H163" s="340"/>
      <c r="I163" s="177"/>
      <c r="J163" s="202"/>
      <c r="K163" s="177"/>
      <c r="L163" s="205" t="s">
        <v>1018</v>
      </c>
      <c r="M163" s="342">
        <v>5</v>
      </c>
      <c r="N163" s="342">
        <v>6</v>
      </c>
      <c r="P163" s="814" t="s">
        <v>1022</v>
      </c>
      <c r="Q163" s="815"/>
      <c r="R163" s="807" t="s">
        <v>1023</v>
      </c>
      <c r="S163" s="808"/>
      <c r="T163" s="809"/>
    </row>
    <row r="164" spans="1:20" s="338" customFormat="1" ht="15.95" hidden="1" customHeight="1" x14ac:dyDescent="0.15">
      <c r="A164" s="177"/>
      <c r="B164" s="370" t="s">
        <v>1044</v>
      </c>
      <c r="C164" s="168" t="s">
        <v>767</v>
      </c>
      <c r="D164" s="217">
        <f>G33</f>
        <v>56</v>
      </c>
      <c r="E164" s="166" t="s">
        <v>1025</v>
      </c>
      <c r="F164" s="166"/>
      <c r="G164" s="370" t="str">
        <f>T168</f>
        <v>S  ≤  S₁</v>
      </c>
      <c r="K164" s="177"/>
      <c r="L164" s="166"/>
      <c r="M164" s="344">
        <v>12.6</v>
      </c>
      <c r="N164" s="344">
        <v>19.7</v>
      </c>
      <c r="O164" s="325" t="s">
        <v>1027</v>
      </c>
      <c r="P164" s="345" t="s">
        <v>1028</v>
      </c>
      <c r="Q164" s="346" t="s">
        <v>1029</v>
      </c>
      <c r="R164" s="347">
        <v>1</v>
      </c>
      <c r="S164" s="348">
        <f>IF($G$6=5, M164, N164)</f>
        <v>12.6</v>
      </c>
      <c r="T164" s="346" t="str">
        <f>O164</f>
        <v>S  ≤  S₁</v>
      </c>
    </row>
    <row r="165" spans="1:20" s="338" customFormat="1" ht="15.95" hidden="1" customHeight="1" x14ac:dyDescent="0.15">
      <c r="A165" s="177"/>
      <c r="B165" s="370" t="s">
        <v>896</v>
      </c>
      <c r="C165" s="168" t="s">
        <v>767</v>
      </c>
      <c r="D165" s="217">
        <f>D33</f>
        <v>2</v>
      </c>
      <c r="E165" s="166" t="s">
        <v>1025</v>
      </c>
      <c r="F165" s="166"/>
      <c r="H165" s="166"/>
      <c r="I165" s="177"/>
      <c r="J165" s="177"/>
      <c r="K165" s="217"/>
      <c r="L165" s="166"/>
      <c r="M165" s="351">
        <v>61</v>
      </c>
      <c r="N165" s="351">
        <v>54.9</v>
      </c>
      <c r="O165" s="325" t="s">
        <v>1031</v>
      </c>
      <c r="P165" s="352">
        <f>IF($G$6=5, M165,N165)</f>
        <v>61</v>
      </c>
      <c r="Q165" s="353">
        <f>IF($G$6=5,M167,N167)</f>
        <v>115</v>
      </c>
      <c r="R165" s="354">
        <v>2</v>
      </c>
      <c r="S165" s="355">
        <f>IF($G$6=5, M166, N166)</f>
        <v>15.028000000000002</v>
      </c>
      <c r="T165" s="356" t="str">
        <f>O166</f>
        <v>S₁&lt;  S  &lt; S₂</v>
      </c>
    </row>
    <row r="166" spans="1:20" s="338" customFormat="1" ht="15.95" hidden="1" customHeight="1" x14ac:dyDescent="0.15">
      <c r="A166" s="177"/>
      <c r="B166" s="370" t="s">
        <v>1045</v>
      </c>
      <c r="C166" s="168" t="s">
        <v>767</v>
      </c>
      <c r="D166" s="217">
        <f>D164/D165</f>
        <v>28</v>
      </c>
      <c r="E166" s="166"/>
      <c r="F166" s="177"/>
      <c r="H166" s="177"/>
      <c r="I166" s="177"/>
      <c r="J166" s="177"/>
      <c r="K166" s="177"/>
      <c r="L166" s="166"/>
      <c r="M166" s="351">
        <f>17.1-0.074*D166</f>
        <v>15.028000000000002</v>
      </c>
      <c r="N166" s="351">
        <f>27.9-0.15*(D166)</f>
        <v>23.7</v>
      </c>
      <c r="O166" s="325" t="s">
        <v>1033</v>
      </c>
      <c r="P166" s="357" t="s">
        <v>1034</v>
      </c>
      <c r="Q166" s="358"/>
      <c r="R166" s="359">
        <v>3</v>
      </c>
      <c r="S166" s="360">
        <f>IF($G$6=5, M168, N168)</f>
        <v>35.214285714285715</v>
      </c>
      <c r="T166" s="353" t="str">
        <f>O168</f>
        <v>S  ≥  S₂</v>
      </c>
    </row>
    <row r="167" spans="1:20" s="338" customFormat="1" ht="15.95" hidden="1" customHeight="1" thickBot="1" x14ac:dyDescent="0.2">
      <c r="A167" s="177"/>
      <c r="B167" s="370" t="s">
        <v>1046</v>
      </c>
      <c r="C167" s="168" t="s">
        <v>767</v>
      </c>
      <c r="D167" s="217">
        <f>S168</f>
        <v>12.6</v>
      </c>
      <c r="E167" s="166" t="s">
        <v>232</v>
      </c>
      <c r="F167" s="177"/>
      <c r="G167" s="177"/>
      <c r="H167" s="177"/>
      <c r="I167" s="177"/>
      <c r="J167" s="166"/>
      <c r="K167" s="177"/>
      <c r="L167" s="166"/>
      <c r="M167" s="351">
        <v>115</v>
      </c>
      <c r="N167" s="351">
        <v>93</v>
      </c>
      <c r="O167" s="325" t="s">
        <v>1035</v>
      </c>
      <c r="P167" s="346" t="s">
        <v>1036</v>
      </c>
    </row>
    <row r="168" spans="1:20" s="338" customFormat="1" ht="15.95" hidden="1" customHeight="1" thickBot="1" x14ac:dyDescent="0.2">
      <c r="A168" s="177"/>
      <c r="B168" s="205"/>
      <c r="C168" s="168" t="s">
        <v>767</v>
      </c>
      <c r="D168" s="217">
        <f>D167*6.894757</f>
        <v>86.873938199999998</v>
      </c>
      <c r="E168" s="166" t="s">
        <v>783</v>
      </c>
      <c r="F168" s="177"/>
      <c r="G168" s="177"/>
      <c r="H168" s="177"/>
      <c r="I168" s="177"/>
      <c r="J168" s="177"/>
      <c r="K168" s="177"/>
      <c r="L168" s="166"/>
      <c r="M168" s="361">
        <f>986/D166</f>
        <v>35.214285714285715</v>
      </c>
      <c r="N168" s="361">
        <f>1298/D166</f>
        <v>46.357142857142854</v>
      </c>
      <c r="O168" s="325" t="s">
        <v>1038</v>
      </c>
      <c r="P168" s="362">
        <f>D166</f>
        <v>28</v>
      </c>
      <c r="Q168" s="366"/>
      <c r="R168" s="363">
        <f>IF(P168&lt;=P165,1,IF(AND(P168&gt;P165,P168&lt;=Q165),2,3))</f>
        <v>1</v>
      </c>
      <c r="S168" s="364">
        <f>VLOOKUP(R168, R164:S166, 2, FALSE)</f>
        <v>12.6</v>
      </c>
      <c r="T168" s="365" t="str">
        <f>VLOOKUP(R168,R164:T166, 3, FALSE)</f>
        <v>S  ≤  S₁</v>
      </c>
    </row>
    <row r="169" spans="1:20" s="338" customFormat="1" ht="15.95" hidden="1" customHeight="1" x14ac:dyDescent="0.15">
      <c r="A169" s="166"/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325"/>
    </row>
    <row r="170" spans="1:20" s="338" customFormat="1" ht="15.95" hidden="1" customHeight="1" x14ac:dyDescent="0.15">
      <c r="A170" s="166"/>
      <c r="B170" s="166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325"/>
    </row>
    <row r="171" spans="1:20" s="338" customFormat="1" ht="15.95" hidden="1" customHeight="1" x14ac:dyDescent="0.15">
      <c r="A171" s="166"/>
      <c r="B171" s="204" t="s">
        <v>1047</v>
      </c>
      <c r="C171" s="166"/>
      <c r="D171" s="166"/>
      <c r="E171" s="198" t="s">
        <v>1048</v>
      </c>
      <c r="F171" s="166" t="s">
        <v>1049</v>
      </c>
      <c r="G171" s="166"/>
      <c r="H171" s="166"/>
      <c r="I171" s="166"/>
      <c r="J171" s="166"/>
      <c r="K171" s="166"/>
      <c r="L171" s="166"/>
      <c r="M171" s="325"/>
    </row>
    <row r="172" spans="1:20" s="338" customFormat="1" ht="15.95" hidden="1" customHeight="1" x14ac:dyDescent="0.15">
      <c r="A172" s="166"/>
      <c r="B172" s="204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325"/>
    </row>
    <row r="173" spans="1:20" s="338" customFormat="1" ht="15.95" hidden="1" customHeight="1" x14ac:dyDescent="0.15">
      <c r="A173" s="166"/>
      <c r="B173" s="370" t="s">
        <v>1050</v>
      </c>
      <c r="C173" s="168" t="s">
        <v>767</v>
      </c>
      <c r="D173" s="822" t="s">
        <v>1051</v>
      </c>
      <c r="E173" s="822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</row>
    <row r="174" spans="1:20" s="338" customFormat="1" ht="15.95" hidden="1" customHeight="1" x14ac:dyDescent="0.15">
      <c r="A174" s="166"/>
      <c r="B174" s="205"/>
      <c r="C174" s="168" t="s">
        <v>767</v>
      </c>
      <c r="D174" s="217">
        <f>(D12)/D25</f>
        <v>3.8585403221273347</v>
      </c>
      <c r="E174" s="166" t="s">
        <v>783</v>
      </c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</row>
    <row r="175" spans="1:20" s="338" customFormat="1" ht="15.95" hidden="1" customHeight="1" x14ac:dyDescent="0.15">
      <c r="A175" s="166"/>
      <c r="B175" s="370" t="s">
        <v>1052</v>
      </c>
      <c r="C175" s="168" t="s">
        <v>767</v>
      </c>
      <c r="D175" s="370" t="s">
        <v>1053</v>
      </c>
      <c r="F175" s="198"/>
      <c r="H175" s="166"/>
      <c r="I175" s="166"/>
      <c r="J175" s="166"/>
      <c r="K175" s="166"/>
      <c r="L175" s="166"/>
      <c r="M175" s="166"/>
      <c r="N175" s="166"/>
      <c r="O175" s="166"/>
    </row>
    <row r="176" spans="1:20" s="338" customFormat="1" ht="15.95" hidden="1" customHeight="1" x14ac:dyDescent="0.15">
      <c r="A176" s="166"/>
      <c r="B176" s="198"/>
      <c r="C176" s="168" t="s">
        <v>767</v>
      </c>
      <c r="D176" s="369">
        <f>MIN(D150,D159,D168)</f>
        <v>45.410296103448275</v>
      </c>
      <c r="E176" s="166" t="s">
        <v>783</v>
      </c>
      <c r="F176" s="166"/>
      <c r="G176" s="205"/>
      <c r="H176" s="198"/>
      <c r="I176" s="205"/>
      <c r="J176" s="166"/>
      <c r="K176" s="166"/>
      <c r="L176" s="166"/>
      <c r="M176" s="166"/>
      <c r="N176" s="166"/>
      <c r="O176" s="166"/>
    </row>
    <row r="177" spans="1:20" s="338" customFormat="1" ht="15.95" hidden="1" customHeight="1" x14ac:dyDescent="0.15">
      <c r="A177" s="166"/>
      <c r="C177" s="168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</row>
    <row r="178" spans="1:20" s="177" customFormat="1" ht="15.95" hidden="1" customHeight="1" x14ac:dyDescent="0.15"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</row>
    <row r="179" spans="1:20" s="177" customFormat="1" ht="15.95" hidden="1" customHeight="1" x14ac:dyDescent="0.15">
      <c r="B179" s="204" t="s">
        <v>1054</v>
      </c>
      <c r="C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</row>
    <row r="180" spans="1:20" ht="15.95" hidden="1" customHeight="1" x14ac:dyDescent="0.15"/>
    <row r="181" spans="1:20" s="177" customFormat="1" ht="15.95" hidden="1" customHeight="1" x14ac:dyDescent="0.15">
      <c r="B181" s="370" t="s">
        <v>1055</v>
      </c>
      <c r="C181" s="168" t="s">
        <v>767</v>
      </c>
      <c r="D181" s="205">
        <f>D174/D176</f>
        <v>8.4970604757504162E-2</v>
      </c>
      <c r="E181" s="206" t="str">
        <f>IF(D181&gt;F181,"&gt;","&lt;")</f>
        <v>&lt;</v>
      </c>
      <c r="F181" s="207">
        <v>1</v>
      </c>
      <c r="G181" s="208" t="str">
        <f>IF(D181&lt;F181,"O.K.","N.G.")</f>
        <v>O.K.</v>
      </c>
      <c r="J181" s="166"/>
      <c r="K181" s="166"/>
      <c r="L181" s="166"/>
      <c r="M181" s="193"/>
    </row>
    <row r="182" spans="1:20" s="177" customFormat="1" ht="15.95" hidden="1" customHeight="1" x14ac:dyDescent="0.15">
      <c r="A182" s="166"/>
      <c r="B182" s="327"/>
      <c r="C182" s="166"/>
      <c r="D182" s="198"/>
      <c r="E182" s="166"/>
      <c r="F182" s="166"/>
      <c r="H182" s="166"/>
      <c r="I182" s="166"/>
      <c r="J182" s="166"/>
      <c r="K182" s="166"/>
      <c r="L182" s="166"/>
      <c r="M182" s="193"/>
    </row>
    <row r="183" spans="1:20" s="177" customFormat="1" ht="15.95" hidden="1" customHeight="1" x14ac:dyDescent="0.15">
      <c r="A183" s="167"/>
      <c r="B183" s="167"/>
      <c r="C183" s="167"/>
      <c r="D183" s="167"/>
      <c r="E183" s="167"/>
      <c r="F183" s="282"/>
      <c r="G183" s="167"/>
      <c r="H183" s="167"/>
      <c r="I183" s="167"/>
      <c r="J183" s="167"/>
      <c r="K183" s="167"/>
      <c r="L183" s="167"/>
      <c r="M183" s="325"/>
    </row>
    <row r="184" spans="1:20" s="177" customFormat="1" ht="15.95" hidden="1" customHeight="1" x14ac:dyDescent="0.15">
      <c r="A184" s="167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</row>
    <row r="185" spans="1:20" s="177" customFormat="1" ht="15.95" hidden="1" customHeight="1" x14ac:dyDescent="0.15">
      <c r="A185" s="167"/>
      <c r="B185" s="177" t="s">
        <v>974</v>
      </c>
      <c r="C185" s="167"/>
      <c r="D185" s="167"/>
      <c r="E185" s="167"/>
      <c r="F185" s="167"/>
      <c r="G185" s="167"/>
      <c r="H185" s="167"/>
      <c r="I185" s="167"/>
      <c r="J185" s="167"/>
      <c r="K185" s="167"/>
      <c r="L185" s="336" t="s">
        <v>1018</v>
      </c>
      <c r="M185" s="337">
        <f>$G$6</f>
        <v>5</v>
      </c>
      <c r="N185" s="325"/>
      <c r="O185" s="326"/>
    </row>
    <row r="186" spans="1:20" s="338" customFormat="1" ht="15.95" hidden="1" customHeight="1" x14ac:dyDescent="0.15">
      <c r="J186" s="339"/>
      <c r="K186" s="339"/>
      <c r="L186" s="339"/>
      <c r="M186" s="325"/>
      <c r="N186" s="325"/>
      <c r="O186" s="325"/>
    </row>
    <row r="187" spans="1:20" s="195" customFormat="1" ht="15.95" hidden="1" customHeight="1" x14ac:dyDescent="0.15">
      <c r="A187" s="177"/>
      <c r="B187" s="340" t="s">
        <v>1019</v>
      </c>
      <c r="C187" s="340"/>
      <c r="G187" s="205" t="s">
        <v>1020</v>
      </c>
      <c r="H187" s="425"/>
      <c r="I187" s="198"/>
      <c r="J187" s="175"/>
      <c r="K187" s="166"/>
      <c r="L187" s="166"/>
      <c r="M187" s="283" t="s">
        <v>1021</v>
      </c>
      <c r="N187" s="341">
        <v>14</v>
      </c>
      <c r="O187" s="177"/>
      <c r="P187" s="338"/>
      <c r="Q187" s="338"/>
      <c r="R187" s="177"/>
      <c r="S187" s="338"/>
      <c r="T187" s="338"/>
    </row>
    <row r="188" spans="1:20" s="195" customFormat="1" ht="15.95" hidden="1" customHeight="1" x14ac:dyDescent="0.15">
      <c r="A188" s="166"/>
      <c r="B188" s="340"/>
      <c r="C188" s="166"/>
      <c r="D188" s="166"/>
      <c r="E188" s="166"/>
      <c r="F188" s="338"/>
      <c r="G188" s="325"/>
      <c r="H188" s="338"/>
      <c r="I188" s="166"/>
      <c r="J188" s="340"/>
      <c r="K188" s="166"/>
      <c r="L188" s="205" t="s">
        <v>1018</v>
      </c>
      <c r="M188" s="342">
        <v>5</v>
      </c>
      <c r="N188" s="342">
        <v>6</v>
      </c>
      <c r="O188" s="338"/>
      <c r="P188" s="814" t="s">
        <v>1022</v>
      </c>
      <c r="Q188" s="815"/>
      <c r="R188" s="807" t="s">
        <v>1023</v>
      </c>
      <c r="S188" s="808"/>
      <c r="T188" s="809"/>
    </row>
    <row r="189" spans="1:20" s="195" customFormat="1" ht="15.95" hidden="1" customHeight="1" x14ac:dyDescent="0.15">
      <c r="A189" s="166"/>
      <c r="B189" s="370" t="s">
        <v>1024</v>
      </c>
      <c r="C189" s="168" t="s">
        <v>767</v>
      </c>
      <c r="D189" s="268">
        <f>D9</f>
        <v>1500</v>
      </c>
      <c r="E189" s="166" t="s">
        <v>1025</v>
      </c>
      <c r="F189" s="166"/>
      <c r="G189" s="343" t="s">
        <v>1056</v>
      </c>
      <c r="H189" s="823" t="s">
        <v>341</v>
      </c>
      <c r="I189" s="824">
        <f>2*D189*D191/(SQRT(D190*D192))</f>
        <v>84.964957826405382</v>
      </c>
      <c r="K189" s="166"/>
      <c r="L189" s="166"/>
      <c r="M189" s="344">
        <v>0</v>
      </c>
      <c r="N189" s="344">
        <v>0</v>
      </c>
      <c r="O189" s="325" t="s">
        <v>1027</v>
      </c>
      <c r="P189" s="345" t="s">
        <v>1028</v>
      </c>
      <c r="Q189" s="346" t="s">
        <v>1029</v>
      </c>
      <c r="R189" s="347">
        <v>1</v>
      </c>
      <c r="S189" s="348">
        <f>IF($G$6=5, M189, N189)</f>
        <v>0</v>
      </c>
      <c r="T189" s="346" t="str">
        <f>O189</f>
        <v>S  ≤  S₁</v>
      </c>
    </row>
    <row r="190" spans="1:20" s="195" customFormat="1" ht="15.95" hidden="1" customHeight="1" x14ac:dyDescent="0.15">
      <c r="A190" s="166"/>
      <c r="B190" s="370" t="s">
        <v>879</v>
      </c>
      <c r="C190" s="168" t="s">
        <v>767</v>
      </c>
      <c r="D190" s="268">
        <f>D21</f>
        <v>462398.66666666663</v>
      </c>
      <c r="E190" s="166" t="s">
        <v>943</v>
      </c>
      <c r="F190" s="166"/>
      <c r="G190" s="349" t="s">
        <v>1057</v>
      </c>
      <c r="H190" s="823"/>
      <c r="I190" s="824"/>
      <c r="J190" s="350"/>
      <c r="K190" s="166"/>
      <c r="L190" s="166"/>
      <c r="M190" s="351">
        <v>0</v>
      </c>
      <c r="N190" s="351">
        <v>0</v>
      </c>
      <c r="O190" s="325" t="s">
        <v>1031</v>
      </c>
      <c r="P190" s="352">
        <f>IF($G$6=5, M190,N190)</f>
        <v>0</v>
      </c>
      <c r="Q190" s="353">
        <f>IF($G$6=5,M192,N192)</f>
        <v>3823</v>
      </c>
      <c r="R190" s="354">
        <v>2</v>
      </c>
      <c r="S190" s="355">
        <f>IF($G$6=5, M191, N191)</f>
        <v>9.8547649317114061</v>
      </c>
      <c r="T190" s="356" t="str">
        <f>O191</f>
        <v>S₁&lt;  S  &lt; S₂</v>
      </c>
    </row>
    <row r="191" spans="1:20" s="195" customFormat="1" ht="15.95" hidden="1" customHeight="1" x14ac:dyDescent="0.15">
      <c r="B191" s="370" t="s">
        <v>889</v>
      </c>
      <c r="C191" s="168" t="s">
        <v>767</v>
      </c>
      <c r="D191" s="268">
        <f>D26</f>
        <v>19870.579852681814</v>
      </c>
      <c r="E191" s="166" t="s">
        <v>1032</v>
      </c>
      <c r="G191" s="370" t="str">
        <f>T193</f>
        <v>S₁&lt;  S  &lt; S₂</v>
      </c>
      <c r="J191" s="166"/>
      <c r="K191" s="166"/>
      <c r="L191" s="166"/>
      <c r="M191" s="351">
        <f>10.5-0.07*SQRT(I189)</f>
        <v>9.8547649317114061</v>
      </c>
      <c r="N191" s="351">
        <f>16.7-0.14*SQRT(I189)</f>
        <v>15.409529863422812</v>
      </c>
      <c r="O191" s="325" t="s">
        <v>1033</v>
      </c>
      <c r="P191" s="357" t="s">
        <v>1034</v>
      </c>
      <c r="Q191" s="358"/>
      <c r="R191" s="359">
        <v>3</v>
      </c>
      <c r="S191" s="360">
        <f>IF($G$6=5, M193, N193)</f>
        <v>277.74979949046605</v>
      </c>
      <c r="T191" s="353" t="str">
        <f>O193</f>
        <v>S  ≥  S₂</v>
      </c>
    </row>
    <row r="192" spans="1:20" s="195" customFormat="1" ht="15.95" hidden="1" customHeight="1" thickBot="1" x14ac:dyDescent="0.2">
      <c r="A192" s="166"/>
      <c r="B192" s="370" t="s">
        <v>890</v>
      </c>
      <c r="C192" s="168" t="s">
        <v>767</v>
      </c>
      <c r="D192" s="268">
        <f>D27</f>
        <v>1064553.0909090908</v>
      </c>
      <c r="E192" s="166" t="s">
        <v>943</v>
      </c>
      <c r="F192" s="205"/>
      <c r="H192" s="205"/>
      <c r="I192" s="166"/>
      <c r="J192" s="166"/>
      <c r="K192" s="166"/>
      <c r="L192" s="166"/>
      <c r="M192" s="351">
        <v>3823</v>
      </c>
      <c r="N192" s="351">
        <v>2400</v>
      </c>
      <c r="O192" s="325" t="s">
        <v>1035</v>
      </c>
      <c r="P192" s="346" t="s">
        <v>1036</v>
      </c>
      <c r="Q192" s="338"/>
      <c r="R192" s="338"/>
      <c r="S192" s="338"/>
      <c r="T192" s="338"/>
    </row>
    <row r="193" spans="1:20" s="195" customFormat="1" ht="15.95" hidden="1" customHeight="1" thickBot="1" x14ac:dyDescent="0.2">
      <c r="A193" s="166"/>
      <c r="B193" s="370" t="s">
        <v>1037</v>
      </c>
      <c r="C193" s="168" t="s">
        <v>767</v>
      </c>
      <c r="D193" s="217">
        <f>S193</f>
        <v>9.8547649317114061</v>
      </c>
      <c r="E193" s="166" t="s">
        <v>232</v>
      </c>
      <c r="F193" s="205"/>
      <c r="K193" s="166"/>
      <c r="L193" s="166"/>
      <c r="M193" s="361">
        <f>23599/I189</f>
        <v>277.74979949046605</v>
      </c>
      <c r="N193" s="361">
        <f>23599/I189</f>
        <v>277.74979949046605</v>
      </c>
      <c r="O193" s="325" t="s">
        <v>1038</v>
      </c>
      <c r="P193" s="362">
        <f>I189</f>
        <v>84.964957826405382</v>
      </c>
      <c r="R193" s="363">
        <f>IF(P193&lt;=P190,1,IF(AND(P193&gt;P190,P193&lt;Q190),2,3))</f>
        <v>2</v>
      </c>
      <c r="S193" s="364">
        <f>VLOOKUP(R193, R189:S191, 2, FALSE)</f>
        <v>9.8547649317114061</v>
      </c>
      <c r="T193" s="365" t="str">
        <f>VLOOKUP(R193,R189:T191, 3, FALSE)</f>
        <v>S₁&lt;  S  &lt; S₂</v>
      </c>
    </row>
    <row r="194" spans="1:20" s="195" customFormat="1" ht="15.95" hidden="1" customHeight="1" x14ac:dyDescent="0.15">
      <c r="A194" s="166"/>
      <c r="C194" s="168" t="s">
        <v>767</v>
      </c>
      <c r="D194" s="217">
        <f>D193*6.894757</f>
        <v>67.946209496271749</v>
      </c>
      <c r="E194" s="166" t="s">
        <v>783</v>
      </c>
      <c r="F194" s="205"/>
      <c r="G194" s="205"/>
      <c r="H194" s="205"/>
      <c r="I194" s="166"/>
      <c r="J194" s="166"/>
      <c r="K194" s="166"/>
      <c r="L194" s="166"/>
      <c r="P194" s="338"/>
      <c r="Q194" s="338"/>
      <c r="R194" s="338"/>
    </row>
    <row r="195" spans="1:20" s="338" customFormat="1" ht="15.95" hidden="1" customHeight="1" x14ac:dyDescent="0.15">
      <c r="A195" s="166"/>
      <c r="E195" s="205"/>
      <c r="F195" s="205"/>
      <c r="G195" s="205"/>
      <c r="H195" s="205"/>
      <c r="I195" s="166"/>
      <c r="J195" s="166"/>
      <c r="K195" s="166"/>
      <c r="L195" s="166"/>
      <c r="P195" s="195"/>
      <c r="Q195" s="195"/>
      <c r="R195" s="195"/>
    </row>
    <row r="196" spans="1:20" s="195" customFormat="1" ht="15.95" hidden="1" customHeight="1" x14ac:dyDescent="0.15">
      <c r="A196" s="177"/>
      <c r="B196" s="340" t="s">
        <v>1039</v>
      </c>
      <c r="C196" s="340"/>
      <c r="D196" s="340"/>
      <c r="E196" s="340"/>
      <c r="G196" s="205" t="s">
        <v>1040</v>
      </c>
      <c r="H196" s="205"/>
      <c r="I196" s="205"/>
      <c r="J196" s="175"/>
      <c r="K196" s="177"/>
      <c r="L196" s="166"/>
      <c r="M196" s="283" t="s">
        <v>1021</v>
      </c>
      <c r="N196" s="341">
        <v>16</v>
      </c>
      <c r="O196" s="177"/>
      <c r="P196" s="338"/>
      <c r="Q196" s="338"/>
      <c r="R196" s="177"/>
      <c r="S196" s="338"/>
      <c r="T196" s="338"/>
    </row>
    <row r="197" spans="1:20" s="195" customFormat="1" ht="15.95" hidden="1" customHeight="1" x14ac:dyDescent="0.15">
      <c r="A197" s="177"/>
      <c r="B197" s="340"/>
      <c r="C197" s="340"/>
      <c r="D197" s="340"/>
      <c r="E197" s="340"/>
      <c r="F197" s="340"/>
      <c r="H197" s="205"/>
      <c r="I197" s="177"/>
      <c r="J197" s="202"/>
      <c r="K197" s="177"/>
      <c r="L197" s="205" t="s">
        <v>1018</v>
      </c>
      <c r="M197" s="342">
        <v>5</v>
      </c>
      <c r="N197" s="342">
        <v>6</v>
      </c>
      <c r="O197" s="338"/>
      <c r="P197" s="814" t="s">
        <v>1022</v>
      </c>
      <c r="Q197" s="815"/>
      <c r="R197" s="807" t="s">
        <v>1023</v>
      </c>
      <c r="S197" s="808"/>
      <c r="T197" s="809"/>
    </row>
    <row r="198" spans="1:20" s="195" customFormat="1" ht="15.95" hidden="1" customHeight="1" x14ac:dyDescent="0.15">
      <c r="A198" s="177"/>
      <c r="B198" s="370" t="s">
        <v>898</v>
      </c>
      <c r="C198" s="168" t="s">
        <v>767</v>
      </c>
      <c r="D198" s="217">
        <f>D164</f>
        <v>56</v>
      </c>
      <c r="E198" s="166" t="s">
        <v>1025</v>
      </c>
      <c r="F198" s="166"/>
      <c r="G198" s="370" t="str">
        <f>T202</f>
        <v>S₁&lt;  S  &lt; S₂</v>
      </c>
      <c r="H198" s="205"/>
      <c r="K198" s="177"/>
      <c r="L198" s="166"/>
      <c r="M198" s="344">
        <v>9.6999999999999993</v>
      </c>
      <c r="N198" s="344">
        <v>15.2</v>
      </c>
      <c r="O198" s="325" t="s">
        <v>1027</v>
      </c>
      <c r="P198" s="345" t="s">
        <v>1028</v>
      </c>
      <c r="Q198" s="346" t="s">
        <v>1029</v>
      </c>
      <c r="R198" s="347">
        <v>1</v>
      </c>
      <c r="S198" s="348">
        <f>IF($G$6=5, M198, N198)</f>
        <v>9.6999999999999993</v>
      </c>
      <c r="T198" s="346" t="str">
        <f>O198</f>
        <v>S  ≤  S₁</v>
      </c>
    </row>
    <row r="199" spans="1:20" s="195" customFormat="1" ht="15.95" hidden="1" customHeight="1" x14ac:dyDescent="0.15">
      <c r="A199" s="177"/>
      <c r="B199" s="370" t="s">
        <v>896</v>
      </c>
      <c r="C199" s="168" t="s">
        <v>767</v>
      </c>
      <c r="D199" s="217">
        <f>D165</f>
        <v>2</v>
      </c>
      <c r="E199" s="166" t="s">
        <v>1025</v>
      </c>
      <c r="F199" s="338"/>
      <c r="G199" s="166"/>
      <c r="H199" s="205"/>
      <c r="I199" s="177"/>
      <c r="J199" s="177"/>
      <c r="K199" s="217"/>
      <c r="L199" s="166"/>
      <c r="M199" s="351">
        <v>25.6</v>
      </c>
      <c r="N199" s="351">
        <v>22.8</v>
      </c>
      <c r="O199" s="325" t="s">
        <v>1031</v>
      </c>
      <c r="P199" s="352">
        <f>IF($G$6=5, M199,N199)</f>
        <v>25.6</v>
      </c>
      <c r="Q199" s="353">
        <f>IF($G$6=5,M201,N201)</f>
        <v>50</v>
      </c>
      <c r="R199" s="354">
        <v>2</v>
      </c>
      <c r="S199" s="355">
        <f>IF($G$6=5, M200, N200)</f>
        <v>9.4760000000000009</v>
      </c>
      <c r="T199" s="356" t="str">
        <f>O200</f>
        <v>S₁&lt;  S  &lt; S₂</v>
      </c>
    </row>
    <row r="200" spans="1:20" s="195" customFormat="1" ht="15.95" hidden="1" customHeight="1" x14ac:dyDescent="0.15">
      <c r="A200" s="177"/>
      <c r="B200" s="370" t="s">
        <v>1041</v>
      </c>
      <c r="C200" s="168" t="s">
        <v>767</v>
      </c>
      <c r="D200" s="217">
        <f>D198/D199</f>
        <v>28</v>
      </c>
      <c r="E200" s="166"/>
      <c r="F200" s="177"/>
      <c r="H200" s="205"/>
      <c r="I200" s="177"/>
      <c r="J200" s="177"/>
      <c r="K200" s="177"/>
      <c r="L200" s="166"/>
      <c r="M200" s="351">
        <f>11.8-0.083*D200</f>
        <v>9.4760000000000009</v>
      </c>
      <c r="N200" s="351">
        <f>19-0.17*(D200)</f>
        <v>14.239999999999998</v>
      </c>
      <c r="O200" s="325" t="s">
        <v>1033</v>
      </c>
      <c r="P200" s="357" t="s">
        <v>1034</v>
      </c>
      <c r="Q200" s="358"/>
      <c r="R200" s="359">
        <v>3</v>
      </c>
      <c r="S200" s="360">
        <f>IF($G$6=5, M202, N202)</f>
        <v>13.642857142857142</v>
      </c>
      <c r="T200" s="353" t="str">
        <f>O202</f>
        <v>S  ≥  S₂</v>
      </c>
    </row>
    <row r="201" spans="1:20" s="195" customFormat="1" ht="15.95" hidden="1" customHeight="1" thickBot="1" x14ac:dyDescent="0.2">
      <c r="A201" s="177"/>
      <c r="B201" s="370" t="s">
        <v>1042</v>
      </c>
      <c r="C201" s="168" t="s">
        <v>767</v>
      </c>
      <c r="D201" s="217">
        <f>S202</f>
        <v>9.4760000000000009</v>
      </c>
      <c r="E201" s="166" t="s">
        <v>232</v>
      </c>
      <c r="F201" s="177"/>
      <c r="G201" s="177"/>
      <c r="H201" s="205"/>
      <c r="I201" s="177"/>
      <c r="J201" s="166"/>
      <c r="K201" s="177"/>
      <c r="L201" s="166"/>
      <c r="M201" s="351">
        <v>50</v>
      </c>
      <c r="N201" s="351">
        <v>39</v>
      </c>
      <c r="O201" s="325" t="s">
        <v>1035</v>
      </c>
      <c r="P201" s="346" t="s">
        <v>1036</v>
      </c>
      <c r="Q201" s="338"/>
      <c r="R201" s="338"/>
      <c r="S201" s="338"/>
      <c r="T201" s="338"/>
    </row>
    <row r="202" spans="1:20" s="338" customFormat="1" ht="15.95" hidden="1" customHeight="1" thickBot="1" x14ac:dyDescent="0.2">
      <c r="A202" s="177"/>
      <c r="B202" s="198"/>
      <c r="C202" s="168" t="s">
        <v>767</v>
      </c>
      <c r="D202" s="217">
        <f>D201*6.894757</f>
        <v>65.334717332000011</v>
      </c>
      <c r="E202" s="166" t="s">
        <v>783</v>
      </c>
      <c r="F202" s="177"/>
      <c r="G202" s="177"/>
      <c r="H202" s="205"/>
      <c r="I202" s="177"/>
      <c r="J202" s="166"/>
      <c r="K202" s="177"/>
      <c r="L202" s="166"/>
      <c r="M202" s="361">
        <f>382/D200</f>
        <v>13.642857142857142</v>
      </c>
      <c r="N202" s="361">
        <f>484/D200</f>
        <v>17.285714285714285</v>
      </c>
      <c r="O202" s="325" t="s">
        <v>1038</v>
      </c>
      <c r="P202" s="362">
        <f>D200</f>
        <v>28</v>
      </c>
      <c r="Q202" s="366"/>
      <c r="R202" s="363">
        <f>IF(P202&lt;=P199,1,IF(AND(P202&gt;P199,P202&lt;Q199),2,3))</f>
        <v>2</v>
      </c>
      <c r="S202" s="364">
        <f>VLOOKUP(R202, R198:S200, 2, FALSE)</f>
        <v>9.4760000000000009</v>
      </c>
      <c r="T202" s="365" t="str">
        <f>VLOOKUP(R202,R198:T200, 3, FALSE)</f>
        <v>S₁&lt;  S  &lt; S₂</v>
      </c>
    </row>
    <row r="203" spans="1:20" s="338" customFormat="1" ht="15.95" hidden="1" customHeight="1" x14ac:dyDescent="0.15">
      <c r="A203" s="177"/>
      <c r="C203" s="196"/>
      <c r="D203" s="166"/>
      <c r="E203" s="166"/>
      <c r="F203" s="177"/>
      <c r="G203" s="177"/>
      <c r="H203" s="205"/>
      <c r="I203" s="177"/>
      <c r="J203" s="166"/>
      <c r="K203" s="177"/>
      <c r="L203" s="177"/>
    </row>
    <row r="204" spans="1:20" s="338" customFormat="1" ht="15.95" hidden="1" customHeight="1" x14ac:dyDescent="0.15">
      <c r="A204" s="177"/>
      <c r="B204" s="340" t="s">
        <v>1039</v>
      </c>
      <c r="C204" s="340"/>
      <c r="D204" s="340"/>
      <c r="E204" s="340"/>
      <c r="F204" s="340"/>
      <c r="G204" s="205" t="s">
        <v>1043</v>
      </c>
      <c r="H204" s="205"/>
      <c r="I204" s="177"/>
      <c r="J204" s="202"/>
      <c r="K204" s="177"/>
      <c r="L204" s="166"/>
      <c r="M204" s="283" t="s">
        <v>1021</v>
      </c>
      <c r="N204" s="341">
        <v>18</v>
      </c>
      <c r="O204" s="177"/>
      <c r="R204" s="177"/>
    </row>
    <row r="205" spans="1:20" s="338" customFormat="1" ht="15.95" hidden="1" customHeight="1" x14ac:dyDescent="0.15">
      <c r="A205" s="177"/>
      <c r="B205" s="340"/>
      <c r="C205" s="340"/>
      <c r="D205" s="340"/>
      <c r="E205" s="340"/>
      <c r="F205" s="340"/>
      <c r="G205" s="340"/>
      <c r="H205" s="340"/>
      <c r="I205" s="177"/>
      <c r="J205" s="202"/>
      <c r="K205" s="177"/>
      <c r="L205" s="205" t="s">
        <v>1018</v>
      </c>
      <c r="M205" s="342">
        <v>5</v>
      </c>
      <c r="N205" s="342">
        <v>6</v>
      </c>
      <c r="P205" s="814" t="s">
        <v>1022</v>
      </c>
      <c r="Q205" s="815"/>
      <c r="R205" s="807" t="s">
        <v>1023</v>
      </c>
      <c r="S205" s="808"/>
      <c r="T205" s="809"/>
    </row>
    <row r="206" spans="1:20" s="338" customFormat="1" ht="15.95" hidden="1" customHeight="1" x14ac:dyDescent="0.15">
      <c r="A206" s="177"/>
      <c r="B206" s="370" t="s">
        <v>1044</v>
      </c>
      <c r="C206" s="168" t="s">
        <v>767</v>
      </c>
      <c r="D206" s="217">
        <f>D155</f>
        <v>116</v>
      </c>
      <c r="E206" s="166" t="s">
        <v>1025</v>
      </c>
      <c r="F206" s="166"/>
      <c r="G206" s="370" t="str">
        <f>T210</f>
        <v>S  ≤  S₁</v>
      </c>
      <c r="K206" s="177"/>
      <c r="L206" s="166"/>
      <c r="M206" s="344">
        <v>12.6</v>
      </c>
      <c r="N206" s="344">
        <v>19.7</v>
      </c>
      <c r="O206" s="325" t="s">
        <v>1027</v>
      </c>
      <c r="P206" s="345" t="s">
        <v>1028</v>
      </c>
      <c r="Q206" s="346" t="s">
        <v>1029</v>
      </c>
      <c r="R206" s="347">
        <v>1</v>
      </c>
      <c r="S206" s="348">
        <f>IF($G$6=5, M206, N206)</f>
        <v>12.6</v>
      </c>
      <c r="T206" s="346" t="str">
        <f>O206</f>
        <v>S  ≤  S₁</v>
      </c>
    </row>
    <row r="207" spans="1:20" s="338" customFormat="1" ht="15.95" hidden="1" customHeight="1" x14ac:dyDescent="0.15">
      <c r="A207" s="177"/>
      <c r="B207" s="370" t="s">
        <v>896</v>
      </c>
      <c r="C207" s="168" t="s">
        <v>767</v>
      </c>
      <c r="D207" s="217">
        <f>D156</f>
        <v>2</v>
      </c>
      <c r="E207" s="166" t="s">
        <v>1025</v>
      </c>
      <c r="F207" s="166"/>
      <c r="G207" s="166"/>
      <c r="H207" s="166"/>
      <c r="I207" s="177"/>
      <c r="J207" s="177"/>
      <c r="K207" s="217"/>
      <c r="L207" s="166"/>
      <c r="M207" s="351">
        <v>61</v>
      </c>
      <c r="N207" s="351">
        <v>54.9</v>
      </c>
      <c r="O207" s="325" t="s">
        <v>1031</v>
      </c>
      <c r="P207" s="352">
        <f>IF($G$6=5, M207,N207)</f>
        <v>61</v>
      </c>
      <c r="Q207" s="353">
        <f>IF($G$6=5,M209,N209)</f>
        <v>115</v>
      </c>
      <c r="R207" s="354">
        <v>2</v>
      </c>
      <c r="S207" s="355">
        <f>IF($G$6=5, M208, N208)</f>
        <v>12.808000000000002</v>
      </c>
      <c r="T207" s="356" t="str">
        <f>O208</f>
        <v>S₁&lt;  S  &lt; S₂</v>
      </c>
    </row>
    <row r="208" spans="1:20" s="338" customFormat="1" ht="15.95" hidden="1" customHeight="1" x14ac:dyDescent="0.15">
      <c r="A208" s="177"/>
      <c r="B208" s="370" t="s">
        <v>1045</v>
      </c>
      <c r="C208" s="168" t="s">
        <v>767</v>
      </c>
      <c r="D208" s="217">
        <f>D206/D207</f>
        <v>58</v>
      </c>
      <c r="E208" s="166"/>
      <c r="F208" s="177"/>
      <c r="H208" s="177"/>
      <c r="I208" s="177"/>
      <c r="J208" s="177"/>
      <c r="K208" s="177"/>
      <c r="L208" s="166"/>
      <c r="M208" s="351">
        <f>17.1-0.074*D208</f>
        <v>12.808000000000002</v>
      </c>
      <c r="N208" s="351">
        <f>27.9-0.15*(D208)</f>
        <v>19.2</v>
      </c>
      <c r="O208" s="325" t="s">
        <v>1033</v>
      </c>
      <c r="P208" s="357" t="s">
        <v>1034</v>
      </c>
      <c r="Q208" s="358"/>
      <c r="R208" s="359">
        <v>3</v>
      </c>
      <c r="S208" s="360">
        <f>IF($G$6=5, M210, N210)</f>
        <v>17</v>
      </c>
      <c r="T208" s="353" t="str">
        <f>O210</f>
        <v>S  ≥  S₂</v>
      </c>
    </row>
    <row r="209" spans="1:20" s="338" customFormat="1" ht="15.95" hidden="1" customHeight="1" thickBot="1" x14ac:dyDescent="0.2">
      <c r="A209" s="177"/>
      <c r="B209" s="370" t="s">
        <v>1046</v>
      </c>
      <c r="C209" s="168" t="s">
        <v>767</v>
      </c>
      <c r="D209" s="217">
        <f>S210</f>
        <v>12.6</v>
      </c>
      <c r="E209" s="166" t="s">
        <v>232</v>
      </c>
      <c r="F209" s="177"/>
      <c r="G209" s="177"/>
      <c r="H209" s="177"/>
      <c r="I209" s="177"/>
      <c r="J209" s="166"/>
      <c r="K209" s="177"/>
      <c r="L209" s="166"/>
      <c r="M209" s="351">
        <v>115</v>
      </c>
      <c r="N209" s="351">
        <v>93</v>
      </c>
      <c r="O209" s="325" t="s">
        <v>1035</v>
      </c>
      <c r="P209" s="346" t="s">
        <v>1036</v>
      </c>
    </row>
    <row r="210" spans="1:20" s="338" customFormat="1" ht="15.95" hidden="1" customHeight="1" thickBot="1" x14ac:dyDescent="0.2">
      <c r="A210" s="177"/>
      <c r="B210" s="205"/>
      <c r="C210" s="168" t="s">
        <v>767</v>
      </c>
      <c r="D210" s="217">
        <f>D209*6.894757</f>
        <v>86.873938199999998</v>
      </c>
      <c r="E210" s="166" t="s">
        <v>783</v>
      </c>
      <c r="F210" s="177"/>
      <c r="G210" s="177"/>
      <c r="H210" s="177"/>
      <c r="I210" s="177"/>
      <c r="J210" s="177"/>
      <c r="K210" s="177"/>
      <c r="L210" s="166"/>
      <c r="M210" s="361">
        <f>986/D208</f>
        <v>17</v>
      </c>
      <c r="N210" s="361">
        <f>1298/D208</f>
        <v>22.379310344827587</v>
      </c>
      <c r="O210" s="325" t="s">
        <v>1038</v>
      </c>
      <c r="P210" s="362">
        <f>D208</f>
        <v>58</v>
      </c>
      <c r="Q210" s="366"/>
      <c r="R210" s="363">
        <f>IF(P210&lt;=P207,1,IF(AND(P210&gt;P207,P210&lt;=Q207),2,3))</f>
        <v>1</v>
      </c>
      <c r="S210" s="364">
        <f>VLOOKUP(R210, R206:S208, 2, FALSE)</f>
        <v>12.6</v>
      </c>
      <c r="T210" s="365" t="str">
        <f>VLOOKUP(R210,R206:T208, 3, FALSE)</f>
        <v>S  ≤  S₁</v>
      </c>
    </row>
    <row r="211" spans="1:20" s="338" customFormat="1" ht="15.95" hidden="1" customHeight="1" x14ac:dyDescent="0.15">
      <c r="A211" s="166"/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325"/>
    </row>
    <row r="212" spans="1:20" s="338" customFormat="1" ht="15.95" hidden="1" customHeight="1" x14ac:dyDescent="0.15">
      <c r="A212" s="166"/>
      <c r="B212" s="166"/>
      <c r="C212" s="166"/>
      <c r="D212" s="166"/>
      <c r="E212" s="166"/>
      <c r="F212" s="166"/>
      <c r="G212" s="166"/>
      <c r="H212" s="166"/>
      <c r="I212" s="166"/>
      <c r="J212" s="166"/>
      <c r="K212" s="166"/>
      <c r="L212" s="166"/>
      <c r="M212" s="325"/>
    </row>
    <row r="213" spans="1:20" s="338" customFormat="1" ht="15.95" hidden="1" customHeight="1" x14ac:dyDescent="0.15">
      <c r="A213" s="166"/>
      <c r="B213" s="204" t="s">
        <v>1047</v>
      </c>
      <c r="C213" s="166"/>
      <c r="D213" s="166"/>
      <c r="E213" s="198" t="s">
        <v>1048</v>
      </c>
      <c r="F213" s="166" t="s">
        <v>1049</v>
      </c>
      <c r="G213" s="166"/>
      <c r="H213" s="166"/>
      <c r="I213" s="166"/>
      <c r="J213" s="166"/>
      <c r="K213" s="166"/>
      <c r="L213" s="166"/>
      <c r="M213" s="325"/>
    </row>
    <row r="214" spans="1:20" s="338" customFormat="1" ht="15.95" hidden="1" customHeight="1" x14ac:dyDescent="0.15">
      <c r="A214" s="166"/>
      <c r="B214" s="204"/>
      <c r="C214" s="166"/>
      <c r="D214" s="166"/>
      <c r="E214" s="166"/>
      <c r="F214" s="166"/>
      <c r="G214" s="166"/>
      <c r="H214" s="166"/>
      <c r="I214" s="166"/>
      <c r="J214" s="166"/>
      <c r="K214" s="166"/>
      <c r="L214" s="166"/>
      <c r="M214" s="325"/>
    </row>
    <row r="215" spans="1:20" s="338" customFormat="1" ht="15.95" hidden="1" customHeight="1" x14ac:dyDescent="0.15">
      <c r="A215" s="166"/>
      <c r="B215" s="370" t="s">
        <v>1050</v>
      </c>
      <c r="C215" s="168" t="s">
        <v>767</v>
      </c>
      <c r="D215" s="822" t="s">
        <v>1058</v>
      </c>
      <c r="E215" s="822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</row>
    <row r="216" spans="1:20" s="338" customFormat="1" ht="15.95" hidden="1" customHeight="1" x14ac:dyDescent="0.15">
      <c r="A216" s="166"/>
      <c r="B216" s="205"/>
      <c r="C216" s="168" t="s">
        <v>767</v>
      </c>
      <c r="D216" s="217">
        <f>(0.85*D13)/D26</f>
        <v>0</v>
      </c>
      <c r="E216" s="166" t="s">
        <v>783</v>
      </c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</row>
    <row r="217" spans="1:20" s="338" customFormat="1" ht="15.95" hidden="1" customHeight="1" x14ac:dyDescent="0.15">
      <c r="A217" s="166"/>
      <c r="B217" s="370" t="s">
        <v>1052</v>
      </c>
      <c r="C217" s="168" t="s">
        <v>767</v>
      </c>
      <c r="D217" s="370" t="s">
        <v>1053</v>
      </c>
      <c r="F217" s="370"/>
      <c r="H217" s="166"/>
      <c r="I217" s="166"/>
      <c r="J217" s="166"/>
      <c r="K217" s="166"/>
      <c r="L217" s="166"/>
      <c r="M217" s="166"/>
      <c r="N217" s="166"/>
      <c r="O217" s="166"/>
    </row>
    <row r="218" spans="1:20" s="338" customFormat="1" ht="15.95" hidden="1" customHeight="1" x14ac:dyDescent="0.15">
      <c r="A218" s="166"/>
      <c r="B218" s="198"/>
      <c r="C218" s="168" t="s">
        <v>767</v>
      </c>
      <c r="D218" s="369">
        <f>MIN(D194,D202,D210)</f>
        <v>65.334717332000011</v>
      </c>
      <c r="E218" s="166" t="s">
        <v>783</v>
      </c>
      <c r="F218" s="166"/>
      <c r="G218" s="205"/>
      <c r="H218" s="198"/>
      <c r="I218" s="205"/>
      <c r="J218" s="166"/>
      <c r="K218" s="166"/>
      <c r="L218" s="166"/>
      <c r="M218" s="166"/>
      <c r="N218" s="166"/>
      <c r="O218" s="166"/>
    </row>
    <row r="219" spans="1:20" s="177" customFormat="1" ht="15.95" hidden="1" customHeight="1" x14ac:dyDescent="0.15">
      <c r="F219" s="166"/>
      <c r="G219" s="166"/>
      <c r="H219" s="166"/>
      <c r="I219" s="166"/>
      <c r="J219" s="166"/>
      <c r="K219" s="166"/>
      <c r="L219" s="166"/>
      <c r="M219" s="193"/>
    </row>
    <row r="220" spans="1:20" s="177" customFormat="1" ht="15.95" hidden="1" customHeight="1" x14ac:dyDescent="0.15">
      <c r="B220" s="204" t="s">
        <v>1054</v>
      </c>
      <c r="C220" s="166"/>
      <c r="E220" s="166"/>
      <c r="F220" s="166"/>
      <c r="G220" s="166"/>
      <c r="H220" s="166"/>
      <c r="I220" s="166"/>
      <c r="J220" s="166"/>
      <c r="K220" s="166"/>
      <c r="L220" s="166"/>
      <c r="M220" s="193"/>
    </row>
    <row r="221" spans="1:20" ht="15.95" hidden="1" customHeight="1" x14ac:dyDescent="0.15"/>
    <row r="222" spans="1:20" s="177" customFormat="1" ht="15.95" hidden="1" customHeight="1" x14ac:dyDescent="0.15">
      <c r="B222" s="370" t="s">
        <v>1055</v>
      </c>
      <c r="C222" s="168" t="s">
        <v>767</v>
      </c>
      <c r="D222" s="205">
        <f>D216/D218</f>
        <v>0</v>
      </c>
      <c r="E222" s="206" t="str">
        <f>IF(D222&gt;F222,"&gt;","&lt;")</f>
        <v>&lt;</v>
      </c>
      <c r="F222" s="207">
        <v>1</v>
      </c>
      <c r="G222" s="208" t="str">
        <f>IF(D222&lt;F222,"O.K.","N.G.")</f>
        <v>O.K.</v>
      </c>
      <c r="J222" s="166"/>
      <c r="K222" s="166"/>
      <c r="L222" s="166"/>
      <c r="M222" s="193"/>
    </row>
    <row r="223" spans="1:20" s="177" customFormat="1" ht="15.95" hidden="1" customHeight="1" x14ac:dyDescent="0.15">
      <c r="A223" s="166"/>
      <c r="B223" s="327"/>
      <c r="C223" s="166"/>
      <c r="D223" s="198"/>
      <c r="E223" s="166"/>
      <c r="F223" s="166"/>
      <c r="H223" s="166"/>
      <c r="I223" s="166"/>
      <c r="J223" s="166"/>
      <c r="K223" s="166"/>
      <c r="L223" s="166"/>
      <c r="M223" s="193"/>
    </row>
    <row r="224" spans="1:20" s="177" customFormat="1" ht="15.95" hidden="1" customHeight="1" x14ac:dyDescent="0.15">
      <c r="A224" s="167"/>
      <c r="B224" s="167"/>
      <c r="C224" s="167"/>
      <c r="D224" s="167"/>
      <c r="E224" s="167"/>
      <c r="F224" s="282"/>
      <c r="G224" s="167"/>
      <c r="H224" s="167"/>
      <c r="I224" s="167"/>
      <c r="J224" s="167"/>
      <c r="K224" s="167"/>
      <c r="L224" s="167"/>
      <c r="M224" s="193"/>
    </row>
    <row r="225" spans="1:16" s="177" customFormat="1" ht="15.95" hidden="1" customHeight="1" x14ac:dyDescent="0.15">
      <c r="A225" s="167"/>
      <c r="B225" s="177" t="s">
        <v>1059</v>
      </c>
      <c r="C225" s="167"/>
      <c r="D225" s="167"/>
      <c r="E225" s="167"/>
      <c r="F225" s="167"/>
      <c r="G225" s="167"/>
      <c r="H225" s="167"/>
      <c r="I225" s="167"/>
      <c r="J225" s="167"/>
      <c r="K225" s="167"/>
      <c r="L225" s="167"/>
      <c r="M225" s="325"/>
      <c r="N225" s="325"/>
      <c r="O225" s="326"/>
    </row>
    <row r="226" spans="1:16" s="177" customFormat="1" ht="15.95" hidden="1" customHeight="1" x14ac:dyDescent="0.15">
      <c r="A226" s="167"/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7"/>
      <c r="M226" s="193"/>
    </row>
    <row r="227" spans="1:16" s="177" customFormat="1" ht="15.95" hidden="1" customHeight="1" x14ac:dyDescent="0.15">
      <c r="A227" s="167"/>
      <c r="B227" s="370" t="s">
        <v>1055</v>
      </c>
      <c r="C227" s="168" t="s">
        <v>767</v>
      </c>
      <c r="D227" s="166">
        <f>D181</f>
        <v>8.4970604757504162E-2</v>
      </c>
      <c r="E227" s="193" t="s">
        <v>1060</v>
      </c>
      <c r="F227" s="198">
        <f>D222</f>
        <v>0</v>
      </c>
      <c r="G227" s="167"/>
      <c r="H227" s="167"/>
      <c r="I227" s="167"/>
      <c r="J227" s="167"/>
      <c r="K227" s="167"/>
      <c r="L227" s="167"/>
      <c r="M227" s="193"/>
    </row>
    <row r="228" spans="1:16" s="177" customFormat="1" ht="15.95" hidden="1" customHeight="1" x14ac:dyDescent="0.15">
      <c r="A228" s="167"/>
      <c r="B228" s="167"/>
      <c r="C228" s="168" t="s">
        <v>767</v>
      </c>
      <c r="D228" s="205">
        <f>D227+F227</f>
        <v>8.4970604757504162E-2</v>
      </c>
      <c r="E228" s="206" t="str">
        <f>IF(D228&gt;F228,"&gt;","&lt;")</f>
        <v>&lt;</v>
      </c>
      <c r="F228" s="207">
        <v>1</v>
      </c>
      <c r="G228" s="208" t="str">
        <f>IF(D228&lt;F228,"O.K.","N.G.")</f>
        <v>O.K.</v>
      </c>
      <c r="H228" s="167"/>
      <c r="I228" s="167"/>
      <c r="J228" s="167"/>
      <c r="K228" s="167"/>
      <c r="L228" s="167"/>
      <c r="M228" s="193"/>
    </row>
    <row r="229" spans="1:16" s="177" customFormat="1" ht="15.95" hidden="1" customHeight="1" x14ac:dyDescent="0.15">
      <c r="A229" s="167"/>
      <c r="B229" s="167"/>
      <c r="C229" s="168"/>
      <c r="D229" s="205"/>
      <c r="E229" s="206"/>
      <c r="F229" s="207"/>
      <c r="G229" s="167"/>
      <c r="H229" s="167"/>
      <c r="I229" s="167"/>
      <c r="J229" s="167"/>
      <c r="K229" s="167"/>
      <c r="L229" s="167"/>
      <c r="M229" s="193"/>
    </row>
    <row r="230" spans="1:16" s="177" customFormat="1" ht="15.95" hidden="1" customHeight="1" x14ac:dyDescent="0.15">
      <c r="A230" s="167"/>
      <c r="B230" s="167"/>
      <c r="C230" s="168"/>
      <c r="D230" s="205"/>
      <c r="E230" s="206"/>
      <c r="F230" s="207"/>
      <c r="G230" s="167"/>
      <c r="H230" s="167"/>
      <c r="I230" s="167"/>
      <c r="J230" s="167"/>
      <c r="K230" s="167"/>
      <c r="L230" s="167"/>
      <c r="M230" s="193"/>
    </row>
    <row r="231" spans="1:16" ht="15.95" hidden="1" customHeight="1" x14ac:dyDescent="0.15">
      <c r="B231" s="8" t="s">
        <v>1061</v>
      </c>
      <c r="M231" s="166"/>
    </row>
    <row r="232" spans="1:16" ht="15.95" hidden="1" customHeight="1" x14ac:dyDescent="0.15">
      <c r="H232" s="193"/>
      <c r="I232" s="177"/>
      <c r="J232" s="177"/>
      <c r="K232" s="177"/>
      <c r="L232" s="177"/>
      <c r="M232" s="177"/>
      <c r="N232" s="177"/>
      <c r="O232" s="177"/>
      <c r="P232" s="177"/>
    </row>
    <row r="233" spans="1:16" s="177" customFormat="1" ht="15.95" hidden="1" customHeight="1" x14ac:dyDescent="0.15">
      <c r="A233" s="167"/>
      <c r="B233" s="177" t="s">
        <v>919</v>
      </c>
      <c r="C233" s="167"/>
      <c r="D233" s="167"/>
      <c r="E233" s="167"/>
      <c r="F233" s="167"/>
      <c r="G233" s="167"/>
      <c r="H233" s="193"/>
      <c r="I233" s="324"/>
    </row>
    <row r="234" spans="1:16" ht="15.95" hidden="1" customHeight="1" x14ac:dyDescent="0.15">
      <c r="H234" s="193"/>
      <c r="I234" s="177"/>
      <c r="J234" s="177"/>
      <c r="K234" s="177"/>
      <c r="L234" s="177"/>
      <c r="M234" s="196"/>
      <c r="N234" s="177"/>
      <c r="O234" s="177"/>
      <c r="P234" s="177"/>
    </row>
    <row r="235" spans="1:16" ht="15.95" hidden="1" customHeight="1" x14ac:dyDescent="0.15">
      <c r="B235" s="204" t="s">
        <v>1062</v>
      </c>
      <c r="H235" s="177"/>
      <c r="I235" s="177"/>
      <c r="J235" s="177"/>
      <c r="K235" s="202"/>
      <c r="L235" s="177"/>
      <c r="M235" s="196"/>
      <c r="N235" s="177"/>
      <c r="O235" s="177"/>
      <c r="P235" s="177"/>
    </row>
    <row r="236" spans="1:16" ht="15.95" hidden="1" customHeight="1" x14ac:dyDescent="0.15">
      <c r="B236" s="204"/>
      <c r="H236" s="177"/>
      <c r="I236" s="177"/>
      <c r="J236" s="177"/>
      <c r="K236" s="177"/>
      <c r="L236" s="177"/>
      <c r="M236" s="196"/>
      <c r="N236" s="177"/>
      <c r="O236" s="177"/>
      <c r="P236" s="177"/>
    </row>
    <row r="237" spans="1:16" ht="15.95" hidden="1" customHeight="1" x14ac:dyDescent="0.15">
      <c r="B237" s="370" t="s">
        <v>1063</v>
      </c>
      <c r="C237" s="168" t="s">
        <v>767</v>
      </c>
      <c r="D237" s="166">
        <f>D14</f>
        <v>0.47228377811926775</v>
      </c>
      <c r="E237" s="166" t="s">
        <v>583</v>
      </c>
      <c r="M237" s="166"/>
    </row>
    <row r="238" spans="1:16" ht="15.95" hidden="1" customHeight="1" x14ac:dyDescent="0.15">
      <c r="B238" s="198"/>
      <c r="C238" s="205"/>
      <c r="D238" s="299"/>
      <c r="G238" s="198"/>
      <c r="L238" s="198"/>
      <c r="M238" s="166"/>
    </row>
    <row r="239" spans="1:16" ht="15.95" hidden="1" customHeight="1" x14ac:dyDescent="0.15">
      <c r="B239" s="204" t="s">
        <v>1064</v>
      </c>
      <c r="E239" s="166" t="s">
        <v>1065</v>
      </c>
      <c r="M239" s="166"/>
    </row>
    <row r="240" spans="1:16" ht="15.95" hidden="1" customHeight="1" x14ac:dyDescent="0.15">
      <c r="M240" s="166"/>
    </row>
    <row r="241" spans="1:20" ht="15.95" hidden="1" customHeight="1" x14ac:dyDescent="0.15">
      <c r="B241" s="370" t="s">
        <v>1066</v>
      </c>
      <c r="C241" s="168" t="s">
        <v>767</v>
      </c>
      <c r="D241" s="166">
        <f>E41</f>
        <v>1.5</v>
      </c>
      <c r="E241" s="166" t="s">
        <v>583</v>
      </c>
      <c r="F241" s="203" t="str">
        <f>VLOOKUP(D241,L241:M242,2)</f>
        <v>( 1 / 16" : Open Window )</v>
      </c>
      <c r="L241" s="272">
        <v>1.5</v>
      </c>
      <c r="M241" s="198" t="s">
        <v>1067</v>
      </c>
    </row>
    <row r="242" spans="1:20" ht="15.95" hidden="1" customHeight="1" x14ac:dyDescent="0.15">
      <c r="L242" s="272">
        <v>3</v>
      </c>
      <c r="M242" s="198" t="s">
        <v>1068</v>
      </c>
    </row>
    <row r="243" spans="1:20" ht="15.95" hidden="1" customHeight="1" x14ac:dyDescent="0.15">
      <c r="B243" s="204" t="s">
        <v>1069</v>
      </c>
      <c r="M243" s="166"/>
    </row>
    <row r="244" spans="1:20" ht="15.95" hidden="1" customHeight="1" x14ac:dyDescent="0.15">
      <c r="L244" s="177"/>
      <c r="M244" s="166"/>
    </row>
    <row r="245" spans="1:20" s="168" customFormat="1" ht="15.95" hidden="1" customHeight="1" x14ac:dyDescent="0.15">
      <c r="A245" s="177"/>
      <c r="B245" s="370" t="s">
        <v>1070</v>
      </c>
      <c r="C245" s="168" t="s">
        <v>767</v>
      </c>
      <c r="D245" s="205">
        <f>D237/(D241)</f>
        <v>0.31485585207951183</v>
      </c>
      <c r="E245" s="206" t="str">
        <f>IF(D245&gt;F245,"&gt;","&lt;")</f>
        <v>&lt;</v>
      </c>
      <c r="F245" s="207">
        <v>1</v>
      </c>
      <c r="G245" s="208" t="str">
        <f>IF(D245&lt;F245,"O.K.","N.G.")</f>
        <v>O.K.</v>
      </c>
      <c r="H245" s="167"/>
      <c r="I245" s="167"/>
      <c r="J245" s="167"/>
      <c r="K245" s="167"/>
      <c r="L245" s="167"/>
      <c r="N245" s="166"/>
      <c r="O245" s="166"/>
      <c r="P245" s="166"/>
      <c r="Q245" s="166"/>
      <c r="R245" s="166"/>
      <c r="S245" s="166"/>
      <c r="T245" s="166"/>
    </row>
    <row r="246" spans="1:20" ht="15.95" hidden="1" customHeight="1" x14ac:dyDescent="0.15">
      <c r="L246" s="177"/>
      <c r="M246" s="166"/>
    </row>
    <row r="247" spans="1:20" ht="15.95" hidden="1" customHeight="1" x14ac:dyDescent="0.15">
      <c r="L247" s="177"/>
      <c r="M247" s="166"/>
    </row>
    <row r="248" spans="1:20" s="177" customFormat="1" ht="15.95" hidden="1" customHeight="1" x14ac:dyDescent="0.15">
      <c r="A248" s="167"/>
      <c r="B248" s="177" t="s">
        <v>974</v>
      </c>
      <c r="C248" s="167"/>
      <c r="D248" s="167"/>
      <c r="E248" s="167"/>
      <c r="F248" s="167"/>
      <c r="G248" s="167"/>
      <c r="H248" s="167"/>
      <c r="I248" s="167"/>
      <c r="J248" s="167"/>
      <c r="K248" s="167"/>
      <c r="L248" s="167"/>
      <c r="M248" s="325"/>
      <c r="N248" s="325"/>
      <c r="O248" s="326"/>
    </row>
    <row r="249" spans="1:20" ht="15.95" hidden="1" customHeight="1" x14ac:dyDescent="0.15">
      <c r="L249" s="177"/>
      <c r="M249" s="166"/>
    </row>
    <row r="250" spans="1:20" ht="15.95" hidden="1" customHeight="1" x14ac:dyDescent="0.15">
      <c r="B250" s="204" t="s">
        <v>1062</v>
      </c>
      <c r="M250" s="166"/>
    </row>
    <row r="251" spans="1:20" ht="15.95" hidden="1" customHeight="1" x14ac:dyDescent="0.15">
      <c r="B251" s="204"/>
      <c r="M251" s="166"/>
    </row>
    <row r="252" spans="1:20" ht="15.95" hidden="1" customHeight="1" x14ac:dyDescent="0.15">
      <c r="B252" s="370" t="s">
        <v>1063</v>
      </c>
      <c r="C252" s="168" t="s">
        <v>767</v>
      </c>
      <c r="D252" s="166">
        <f>D15</f>
        <v>0</v>
      </c>
      <c r="E252" s="166" t="s">
        <v>583</v>
      </c>
      <c r="M252" s="166"/>
    </row>
    <row r="253" spans="1:20" ht="15.95" hidden="1" customHeight="1" x14ac:dyDescent="0.15">
      <c r="B253" s="198"/>
      <c r="C253" s="205"/>
      <c r="D253" s="299"/>
      <c r="M253" s="166"/>
    </row>
    <row r="254" spans="1:20" ht="15.95" hidden="1" customHeight="1" x14ac:dyDescent="0.15">
      <c r="L254" s="177"/>
      <c r="M254" s="166"/>
    </row>
    <row r="255" spans="1:20" ht="15.95" hidden="1" customHeight="1" x14ac:dyDescent="0.15">
      <c r="B255" s="204" t="s">
        <v>1064</v>
      </c>
      <c r="E255" s="166" t="s">
        <v>1071</v>
      </c>
      <c r="M255" s="166"/>
    </row>
    <row r="256" spans="1:20" ht="15.95" hidden="1" customHeight="1" x14ac:dyDescent="0.15">
      <c r="B256" s="204"/>
      <c r="M256" s="166"/>
    </row>
    <row r="257" spans="1:20" ht="15.95" hidden="1" customHeight="1" x14ac:dyDescent="0.15">
      <c r="B257" s="370" t="s">
        <v>931</v>
      </c>
      <c r="C257" s="168" t="s">
        <v>767</v>
      </c>
      <c r="D257" s="268">
        <f>D9</f>
        <v>1500</v>
      </c>
      <c r="E257" s="166" t="str">
        <f>IF(D257&gt;4110,"mm      &gt;     4110 mm","mm     ≤     4110 mm")</f>
        <v>mm     ≤     4110 mm</v>
      </c>
      <c r="L257" s="198" t="s">
        <v>1072</v>
      </c>
      <c r="M257" s="295">
        <f>D257/240+6.35</f>
        <v>12.6</v>
      </c>
    </row>
    <row r="258" spans="1:20" ht="15.95" hidden="1" customHeight="1" x14ac:dyDescent="0.15">
      <c r="B258" s="370" t="s">
        <v>1066</v>
      </c>
      <c r="C258" s="168" t="s">
        <v>767</v>
      </c>
      <c r="D258" s="174">
        <f>D257</f>
        <v>1500</v>
      </c>
      <c r="E258" s="197" t="str">
        <f>IF(D257&lt;4110,"mm      /     175 ","mm      /      240 + 6.35 mm ")</f>
        <v xml:space="preserve">mm      /     175 </v>
      </c>
      <c r="L258" s="198" t="s">
        <v>1073</v>
      </c>
      <c r="M258" s="295">
        <f>D257/175</f>
        <v>8.5714285714285712</v>
      </c>
    </row>
    <row r="259" spans="1:20" ht="15.95" hidden="1" customHeight="1" x14ac:dyDescent="0.15">
      <c r="B259" s="327"/>
      <c r="C259" s="168" t="s">
        <v>767</v>
      </c>
      <c r="D259" s="205">
        <f>IF(D257&lt;4110,M258,M257)</f>
        <v>8.5714285714285712</v>
      </c>
      <c r="E259" s="166" t="s">
        <v>583</v>
      </c>
      <c r="M259" s="166"/>
    </row>
    <row r="260" spans="1:20" ht="15.95" hidden="1" customHeight="1" x14ac:dyDescent="0.15">
      <c r="C260" s="205"/>
      <c r="D260" s="272"/>
      <c r="M260" s="166"/>
    </row>
    <row r="261" spans="1:20" ht="15.95" hidden="1" customHeight="1" x14ac:dyDescent="0.15">
      <c r="M261" s="166"/>
    </row>
    <row r="262" spans="1:20" ht="15.95" hidden="1" customHeight="1" x14ac:dyDescent="0.15">
      <c r="B262" s="204" t="s">
        <v>1069</v>
      </c>
      <c r="M262" s="166"/>
    </row>
    <row r="263" spans="1:20" s="168" customFormat="1" ht="15.95" hidden="1" customHeight="1" x14ac:dyDescent="0.15">
      <c r="A263" s="167"/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N263" s="166"/>
      <c r="O263" s="166"/>
      <c r="P263" s="166"/>
      <c r="Q263" s="166"/>
      <c r="R263" s="166"/>
      <c r="S263" s="166"/>
      <c r="T263" s="166"/>
    </row>
    <row r="264" spans="1:20" s="168" customFormat="1" ht="15.95" hidden="1" customHeight="1" x14ac:dyDescent="0.15">
      <c r="A264" s="177"/>
      <c r="B264" s="370" t="s">
        <v>1070</v>
      </c>
      <c r="C264" s="168" t="s">
        <v>767</v>
      </c>
      <c r="D264" s="205">
        <f>D252/(D259)</f>
        <v>0</v>
      </c>
      <c r="E264" s="206" t="str">
        <f>IF(D264&gt;F264,"&gt;","&lt;")</f>
        <v>&lt;</v>
      </c>
      <c r="F264" s="207">
        <v>1</v>
      </c>
      <c r="G264" s="208" t="str">
        <f>IF(D264&lt;F264,"O.K.","N.G.")</f>
        <v>O.K.</v>
      </c>
      <c r="H264" s="167"/>
      <c r="I264" s="167"/>
      <c r="J264" s="167"/>
      <c r="K264" s="167"/>
      <c r="L264" s="167"/>
      <c r="N264" s="166"/>
      <c r="O264" s="166"/>
      <c r="P264" s="166"/>
      <c r="Q264" s="166"/>
      <c r="R264" s="166"/>
      <c r="S264" s="166"/>
      <c r="T264" s="166"/>
    </row>
    <row r="265" spans="1:20" s="168" customFormat="1" ht="15.95" hidden="1" customHeight="1" x14ac:dyDescent="0.15">
      <c r="A265" s="167"/>
      <c r="B265" s="167"/>
      <c r="C265" s="167"/>
      <c r="D265" s="167"/>
      <c r="E265" s="167"/>
      <c r="F265" s="167"/>
      <c r="G265" s="167"/>
      <c r="H265" s="167"/>
      <c r="I265" s="167"/>
      <c r="J265" s="167"/>
      <c r="K265" s="167"/>
      <c r="L265" s="167"/>
      <c r="N265" s="166"/>
      <c r="O265" s="166"/>
      <c r="P265" s="166"/>
      <c r="Q265" s="166"/>
      <c r="R265" s="166"/>
      <c r="S265" s="166"/>
      <c r="T265" s="166"/>
    </row>
    <row r="266" spans="1:20" ht="15" hidden="1" customHeight="1" x14ac:dyDescent="0.15"/>
    <row r="270" spans="1:20" ht="15.95" customHeight="1" x14ac:dyDescent="0.15"/>
    <row r="271" spans="1:20" ht="15.95" customHeight="1" x14ac:dyDescent="0.15"/>
    <row r="272" spans="1:20" ht="15.95" customHeight="1" x14ac:dyDescent="0.15"/>
    <row r="273" spans="22:25" ht="15.95" customHeight="1" x14ac:dyDescent="0.15"/>
    <row r="274" spans="22:25" ht="15.95" customHeight="1" x14ac:dyDescent="0.15"/>
    <row r="275" spans="22:25" ht="15.95" customHeight="1" x14ac:dyDescent="0.15"/>
    <row r="276" spans="22:25" ht="15.95" customHeight="1" x14ac:dyDescent="0.15"/>
    <row r="277" spans="22:25" ht="15.95" customHeight="1" x14ac:dyDescent="0.15"/>
    <row r="278" spans="22:25" ht="15.95" customHeight="1" x14ac:dyDescent="0.15">
      <c r="V278" s="223">
        <v>1</v>
      </c>
      <c r="W278" s="223">
        <v>2</v>
      </c>
      <c r="X278" s="223">
        <v>3</v>
      </c>
      <c r="Y278" s="223">
        <v>4</v>
      </c>
    </row>
    <row r="279" spans="22:25" ht="15.95" customHeight="1" x14ac:dyDescent="0.15">
      <c r="V279" s="168" t="s">
        <v>1074</v>
      </c>
      <c r="W279" s="168" t="s">
        <v>1075</v>
      </c>
      <c r="X279" s="168" t="s">
        <v>1076</v>
      </c>
      <c r="Y279" s="168" t="s">
        <v>1077</v>
      </c>
    </row>
    <row r="280" spans="22:25" ht="159.94999999999999" customHeight="1" x14ac:dyDescent="0.15"/>
    <row r="281" spans="22:25" ht="15.95" customHeight="1" x14ac:dyDescent="0.15"/>
    <row r="282" spans="22:25" ht="15.95" customHeight="1" x14ac:dyDescent="0.15"/>
    <row r="283" spans="22:25" ht="15.95" customHeight="1" x14ac:dyDescent="0.15"/>
    <row r="284" spans="22:25" ht="15.95" customHeight="1" x14ac:dyDescent="0.15"/>
    <row r="285" spans="22:25" ht="15.95" customHeight="1" x14ac:dyDescent="0.15"/>
    <row r="286" spans="22:25" ht="15.95" customHeight="1" x14ac:dyDescent="0.15"/>
    <row r="287" spans="22:25" ht="15.95" customHeight="1" x14ac:dyDescent="0.15"/>
    <row r="288" spans="22:25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</sheetData>
  <sheetProtection algorithmName="SHA-512" hashValue="Ph4QUm+VwMn4CE2x8ElSxpKZ1YmHo4yVs+ymMcV90NrYMEIZ2L+TU5d29rQmlDvQz+KM1ah6hrmyS8ooVavHwQ==" saltValue="yx767nUIIAGTQClUM0Rmuw==" spinCount="100000" sheet="1" objects="1" scenarios="1" selectLockedCells="1"/>
  <mergeCells count="31">
    <mergeCell ref="P205:Q205"/>
    <mergeCell ref="R205:T205"/>
    <mergeCell ref="D215:E215"/>
    <mergeCell ref="L6:M6"/>
    <mergeCell ref="D173:E173"/>
    <mergeCell ref="P188:Q188"/>
    <mergeCell ref="R188:T188"/>
    <mergeCell ref="H189:H190"/>
    <mergeCell ref="I189:I190"/>
    <mergeCell ref="P197:Q197"/>
    <mergeCell ref="R197:T197"/>
    <mergeCell ref="H145:H146"/>
    <mergeCell ref="I145:I146"/>
    <mergeCell ref="P154:Q154"/>
    <mergeCell ref="R154:T154"/>
    <mergeCell ref="P163:Q163"/>
    <mergeCell ref="R163:T163"/>
    <mergeCell ref="M40:N40"/>
    <mergeCell ref="B61:D61"/>
    <mergeCell ref="G61:H61"/>
    <mergeCell ref="G99:I110"/>
    <mergeCell ref="P144:Q144"/>
    <mergeCell ref="R144:T144"/>
    <mergeCell ref="B38:B40"/>
    <mergeCell ref="D40:E40"/>
    <mergeCell ref="A46:K46"/>
    <mergeCell ref="H19:I19"/>
    <mergeCell ref="B30:D30"/>
    <mergeCell ref="E30:G30"/>
    <mergeCell ref="B37:C37"/>
    <mergeCell ref="F37:G37"/>
  </mergeCells>
  <phoneticPr fontId="1" type="noConversion"/>
  <conditionalFormatting sqref="B112:E113">
    <cfRule type="expression" dxfId="7" priority="2">
      <formula>$Q$111=$N$111</formula>
    </cfRule>
  </conditionalFormatting>
  <conditionalFormatting sqref="G112:J113">
    <cfRule type="expression" dxfId="6" priority="1">
      <formula>$Q$113=$N$113</formula>
    </cfRule>
  </conditionalFormatting>
  <dataValidations disablePrompts="1" count="1">
    <dataValidation type="list" allowBlank="1" showInputMessage="1" showErrorMessage="1" sqref="H20" xr:uid="{E0611AB1-55D8-475F-AA68-9C86138780FA}">
      <formula1>$M$41:$M$42</formula1>
    </dataValidation>
  </dataValidations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AF86-5AE7-4724-8217-9AFAC38F5A16}">
  <sheetPr codeName="Sheet17">
    <tabColor rgb="FFFFFF00"/>
  </sheetPr>
  <dimension ref="A1"/>
  <sheetViews>
    <sheetView zoomScale="75" zoomScaleNormal="75" workbookViewId="0"/>
  </sheetViews>
  <sheetFormatPr defaultRowHeight="13.5" x14ac:dyDescent="0.15"/>
  <sheetData/>
  <sheetProtection algorithmName="SHA-512" hashValue="cFyS7hPlkMMhNf5n0d+gUNeQ1+leyNkvCMEYhnzvYrh6z6WZQOwhDenFvpI+GSMk0JEOgu4bl34BbkfRaQ28sA==" saltValue="2W88SuX1FxE+vtUwwl4mSQ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F0"/>
  </sheetPr>
  <dimension ref="A1:U138"/>
  <sheetViews>
    <sheetView view="pageBreakPreview" zoomScale="75" zoomScaleNormal="100" zoomScaleSheetLayoutView="75" workbookViewId="0"/>
  </sheetViews>
  <sheetFormatPr defaultRowHeight="15.95" customHeight="1" x14ac:dyDescent="0.15"/>
  <cols>
    <col min="1" max="1" width="2.77734375" style="8" customWidth="1"/>
    <col min="2" max="2" width="7.33203125" style="8" customWidth="1"/>
    <col min="3" max="3" width="5.33203125" style="8" customWidth="1"/>
    <col min="4" max="4" width="9.33203125" style="8" customWidth="1"/>
    <col min="5" max="5" width="5.33203125" style="8" customWidth="1"/>
    <col min="6" max="6" width="9.33203125" style="8" customWidth="1"/>
    <col min="7" max="8" width="7.33203125" style="8" customWidth="1"/>
    <col min="9" max="9" width="5.33203125" style="8" customWidth="1"/>
    <col min="10" max="10" width="9.33203125" style="8" customWidth="1"/>
    <col min="11" max="11" width="7.33203125" style="8" customWidth="1"/>
    <col min="12" max="12" width="2.77734375" style="8" customWidth="1"/>
    <col min="13" max="13" width="6.77734375" style="8" customWidth="1"/>
    <col min="14" max="14" width="9.21875" style="8" customWidth="1"/>
    <col min="15" max="15" width="14.6640625" style="8" customWidth="1"/>
    <col min="16" max="16" width="12.21875" style="8" customWidth="1"/>
    <col min="17" max="17" width="6.77734375" style="8" customWidth="1"/>
    <col min="18" max="18" width="8.77734375" style="8" customWidth="1"/>
    <col min="19" max="20" width="6.77734375" style="8" customWidth="1"/>
    <col min="21" max="21" width="9.77734375" style="8" customWidth="1"/>
    <col min="22" max="16384" width="8.88671875" style="8"/>
  </cols>
  <sheetData>
    <row r="1" spans="1:17" ht="15.95" customHeight="1" x14ac:dyDescent="0.15">
      <c r="A1" s="60" t="s">
        <v>611</v>
      </c>
      <c r="M1" s="700">
        <v>1</v>
      </c>
    </row>
    <row r="2" spans="1:17" ht="15.95" customHeight="1" x14ac:dyDescent="0.15">
      <c r="M2" s="161">
        <v>1</v>
      </c>
      <c r="N2" s="428">
        <v>210000</v>
      </c>
      <c r="O2" s="429" t="s">
        <v>1079</v>
      </c>
      <c r="P2" s="415"/>
    </row>
    <row r="3" spans="1:17" ht="15.95" customHeight="1" x14ac:dyDescent="0.15">
      <c r="B3" s="61" t="s">
        <v>102</v>
      </c>
      <c r="F3" s="427"/>
      <c r="M3" s="161">
        <v>2</v>
      </c>
      <c r="N3" s="428">
        <v>193000</v>
      </c>
      <c r="O3" s="429" t="s">
        <v>1080</v>
      </c>
      <c r="P3" s="415"/>
    </row>
    <row r="5" spans="1:17" ht="15.95" customHeight="1" x14ac:dyDescent="0.15">
      <c r="B5" s="62" t="s">
        <v>103</v>
      </c>
      <c r="C5" s="4" t="s">
        <v>4</v>
      </c>
      <c r="D5" s="157">
        <f>(SUMPRODUCT((N8:N10=N7)*(O7:P7=M7),O8:P10))</f>
        <v>0</v>
      </c>
      <c r="E5" s="27" t="s">
        <v>560</v>
      </c>
      <c r="H5" s="20" t="s">
        <v>113</v>
      </c>
      <c r="I5" s="33"/>
      <c r="M5" s="22"/>
      <c r="P5" s="2"/>
      <c r="Q5" s="2"/>
    </row>
    <row r="6" spans="1:17" ht="15.95" customHeight="1" x14ac:dyDescent="0.15">
      <c r="B6" s="62" t="s">
        <v>111</v>
      </c>
      <c r="C6" s="4" t="s">
        <v>4</v>
      </c>
      <c r="D6" s="142">
        <f>IF(M1=M2,N2,N3)</f>
        <v>210000</v>
      </c>
      <c r="E6" s="27" t="s">
        <v>561</v>
      </c>
      <c r="H6" s="20" t="str">
        <f>IF(M1=M2,O2,O3)</f>
        <v>( Modulus of Elasticity , SS 275 )</v>
      </c>
      <c r="I6" s="27"/>
      <c r="M6" s="782" t="s">
        <v>651</v>
      </c>
      <c r="N6" s="782"/>
      <c r="O6" s="163"/>
      <c r="P6" s="164"/>
      <c r="Q6" s="10"/>
    </row>
    <row r="7" spans="1:17" ht="15.95" customHeight="1" x14ac:dyDescent="0.15">
      <c r="B7" s="62" t="s">
        <v>104</v>
      </c>
      <c r="C7" s="4" t="s">
        <v>4</v>
      </c>
      <c r="D7" s="683">
        <v>1200</v>
      </c>
      <c r="E7" s="27" t="s">
        <v>562</v>
      </c>
      <c r="H7" s="20" t="s">
        <v>114</v>
      </c>
      <c r="M7" s="685" t="s">
        <v>649</v>
      </c>
      <c r="N7" s="686">
        <v>1</v>
      </c>
      <c r="O7" s="160" t="s">
        <v>649</v>
      </c>
      <c r="P7" s="160" t="s">
        <v>650</v>
      </c>
    </row>
    <row r="8" spans="1:17" ht="15.95" customHeight="1" x14ac:dyDescent="0.15">
      <c r="B8" s="62" t="s">
        <v>105</v>
      </c>
      <c r="C8" s="4" t="s">
        <v>4</v>
      </c>
      <c r="D8" s="683">
        <v>1500</v>
      </c>
      <c r="E8" s="27" t="s">
        <v>562</v>
      </c>
      <c r="H8" s="20" t="s">
        <v>115</v>
      </c>
      <c r="M8" s="165" t="s">
        <v>557</v>
      </c>
      <c r="N8" s="161">
        <v>1</v>
      </c>
      <c r="O8" s="162" t="str">
        <f>'WIND LOAD'!T7</f>
        <v>-</v>
      </c>
      <c r="P8" s="162">
        <f>'WIND LOAD'!U7</f>
        <v>0.96</v>
      </c>
    </row>
    <row r="9" spans="1:17" ht="15.95" customHeight="1" x14ac:dyDescent="0.15">
      <c r="B9" s="64" t="s">
        <v>440</v>
      </c>
      <c r="C9" s="4" t="s">
        <v>4</v>
      </c>
      <c r="D9" s="683">
        <v>5000</v>
      </c>
      <c r="E9" s="27" t="s">
        <v>562</v>
      </c>
      <c r="H9" s="20" t="s">
        <v>449</v>
      </c>
      <c r="I9" s="27"/>
      <c r="M9" s="165" t="s">
        <v>558</v>
      </c>
      <c r="N9" s="161">
        <v>2</v>
      </c>
      <c r="O9" s="162" t="str">
        <f>'WIND LOAD'!T8</f>
        <v>-</v>
      </c>
      <c r="P9" s="162">
        <f>'WIND LOAD'!U8</f>
        <v>-0.82599999999999996</v>
      </c>
    </row>
    <row r="10" spans="1:17" ht="15.95" customHeight="1" x14ac:dyDescent="0.15">
      <c r="B10" s="64" t="s">
        <v>441</v>
      </c>
      <c r="C10" s="4" t="s">
        <v>4</v>
      </c>
      <c r="D10" s="683">
        <v>2600</v>
      </c>
      <c r="E10" s="27" t="s">
        <v>562</v>
      </c>
      <c r="H10" s="20" t="s">
        <v>116</v>
      </c>
      <c r="M10" s="165" t="s">
        <v>559</v>
      </c>
      <c r="N10" s="161">
        <v>3</v>
      </c>
      <c r="O10" s="162" t="str">
        <f>'WIND LOAD'!T9</f>
        <v>-</v>
      </c>
      <c r="P10" s="162">
        <f>'WIND LOAD'!U9</f>
        <v>-0.98899999999999999</v>
      </c>
    </row>
    <row r="12" spans="1:17" ht="15.95" customHeight="1" x14ac:dyDescent="0.15">
      <c r="M12" s="140"/>
      <c r="N12" s="786"/>
      <c r="O12" s="786"/>
    </row>
    <row r="13" spans="1:17" ht="15.95" customHeight="1" x14ac:dyDescent="0.15">
      <c r="M13" s="140"/>
      <c r="N13" s="786"/>
      <c r="O13" s="786"/>
    </row>
    <row r="14" spans="1:17" ht="15.95" customHeight="1" x14ac:dyDescent="0.15">
      <c r="B14" s="20" t="s">
        <v>109</v>
      </c>
      <c r="C14" s="4" t="s">
        <v>4</v>
      </c>
      <c r="D14" s="147">
        <f>D84</f>
        <v>0</v>
      </c>
      <c r="E14" s="27" t="s">
        <v>618</v>
      </c>
      <c r="F14" s="20"/>
      <c r="H14" s="137" t="s">
        <v>110</v>
      </c>
      <c r="I14" s="4" t="s">
        <v>4</v>
      </c>
      <c r="J14" s="92">
        <f>D114</f>
        <v>0</v>
      </c>
      <c r="K14" s="67" t="str">
        <f>IF(J14&lt;1,"O.K","N.G")</f>
        <v>O.K</v>
      </c>
      <c r="N14" s="13"/>
    </row>
    <row r="16" spans="1:17" ht="15.95" customHeight="1" x14ac:dyDescent="0.15">
      <c r="B16" s="20" t="s">
        <v>165</v>
      </c>
      <c r="C16" s="4" t="s">
        <v>4</v>
      </c>
      <c r="D16" s="63">
        <f>D87</f>
        <v>0</v>
      </c>
      <c r="E16" s="27" t="s">
        <v>562</v>
      </c>
      <c r="F16" s="20"/>
    </row>
    <row r="17" spans="2:12" ht="15.95" customHeight="1" x14ac:dyDescent="0.15">
      <c r="B17" s="20" t="s">
        <v>588</v>
      </c>
      <c r="C17" s="4" t="s">
        <v>4</v>
      </c>
      <c r="D17" s="63">
        <f>D128</f>
        <v>27.18333333333333</v>
      </c>
      <c r="E17" s="27" t="s">
        <v>562</v>
      </c>
      <c r="H17" s="64" t="s">
        <v>112</v>
      </c>
      <c r="I17" s="4" t="s">
        <v>4</v>
      </c>
      <c r="J17" s="92">
        <f>D133</f>
        <v>0</v>
      </c>
      <c r="K17" s="67" t="str">
        <f>IF(J17&lt;1,"O.K","N.G")</f>
        <v>O.K</v>
      </c>
    </row>
    <row r="19" spans="2:12" ht="15.95" customHeight="1" x14ac:dyDescent="0.15">
      <c r="B19" s="62"/>
      <c r="C19" s="66"/>
      <c r="D19" s="4"/>
    </row>
    <row r="20" spans="2:12" ht="15.95" customHeight="1" x14ac:dyDescent="0.15">
      <c r="B20" s="61" t="s">
        <v>122</v>
      </c>
      <c r="E20" s="33"/>
    </row>
    <row r="21" spans="2:12" ht="15.95" customHeight="1" thickBot="1" x14ac:dyDescent="0.2">
      <c r="K21" s="65"/>
      <c r="L21" s="65"/>
    </row>
    <row r="22" spans="2:12" ht="15.95" customHeight="1" x14ac:dyDescent="0.15">
      <c r="B22" s="827"/>
      <c r="C22" s="784"/>
      <c r="D22" s="784"/>
      <c r="E22" s="785"/>
      <c r="F22" s="31"/>
      <c r="G22" s="121"/>
      <c r="H22" s="122"/>
      <c r="I22" s="122"/>
      <c r="J22" s="122"/>
      <c r="K22" s="123"/>
    </row>
    <row r="23" spans="2:12" ht="15.95" customHeight="1" x14ac:dyDescent="0.15">
      <c r="B23" s="828"/>
      <c r="C23" s="786"/>
      <c r="D23" s="786"/>
      <c r="E23" s="787"/>
      <c r="F23" s="31"/>
      <c r="G23" s="75"/>
      <c r="K23" s="94"/>
    </row>
    <row r="24" spans="2:12" ht="15.95" customHeight="1" x14ac:dyDescent="0.15">
      <c r="B24" s="828"/>
      <c r="C24" s="786"/>
      <c r="D24" s="786"/>
      <c r="E24" s="787"/>
      <c r="F24" s="31"/>
      <c r="G24" s="75"/>
      <c r="K24" s="94"/>
    </row>
    <row r="25" spans="2:12" ht="15.95" customHeight="1" x14ac:dyDescent="0.15">
      <c r="B25" s="828"/>
      <c r="C25" s="786"/>
      <c r="D25" s="786"/>
      <c r="E25" s="787"/>
      <c r="F25" s="31"/>
      <c r="G25" s="75"/>
      <c r="K25" s="94"/>
    </row>
    <row r="26" spans="2:12" ht="15.95" customHeight="1" x14ac:dyDescent="0.15">
      <c r="B26" s="828"/>
      <c r="C26" s="786"/>
      <c r="D26" s="786"/>
      <c r="E26" s="787"/>
      <c r="F26" s="31"/>
      <c r="G26" s="75"/>
      <c r="K26" s="94"/>
    </row>
    <row r="27" spans="2:12" ht="15.95" customHeight="1" x14ac:dyDescent="0.15">
      <c r="B27" s="828"/>
      <c r="C27" s="786"/>
      <c r="D27" s="786"/>
      <c r="E27" s="787"/>
      <c r="F27" s="31"/>
      <c r="G27" s="75"/>
      <c r="K27" s="94"/>
    </row>
    <row r="28" spans="2:12" ht="15.95" customHeight="1" x14ac:dyDescent="0.15">
      <c r="B28" s="828"/>
      <c r="C28" s="786"/>
      <c r="D28" s="786"/>
      <c r="E28" s="787"/>
      <c r="F28" s="31"/>
      <c r="G28" s="75"/>
      <c r="K28" s="94"/>
    </row>
    <row r="29" spans="2:12" ht="15.95" customHeight="1" x14ac:dyDescent="0.15">
      <c r="B29" s="828"/>
      <c r="C29" s="786"/>
      <c r="D29" s="786"/>
      <c r="E29" s="787"/>
      <c r="F29" s="31"/>
      <c r="G29" s="75"/>
      <c r="K29" s="94"/>
    </row>
    <row r="30" spans="2:12" ht="15.95" customHeight="1" x14ac:dyDescent="0.15">
      <c r="B30" s="828"/>
      <c r="C30" s="786"/>
      <c r="D30" s="786"/>
      <c r="E30" s="787"/>
      <c r="F30" s="31"/>
      <c r="G30" s="75"/>
      <c r="K30" s="94"/>
    </row>
    <row r="31" spans="2:12" ht="15.95" customHeight="1" x14ac:dyDescent="0.15">
      <c r="B31" s="828"/>
      <c r="C31" s="786"/>
      <c r="D31" s="786"/>
      <c r="E31" s="787"/>
      <c r="F31" s="31"/>
      <c r="G31" s="75"/>
      <c r="K31" s="94"/>
    </row>
    <row r="32" spans="2:12" ht="15.95" customHeight="1" x14ac:dyDescent="0.15">
      <c r="B32" s="828"/>
      <c r="C32" s="786"/>
      <c r="D32" s="786"/>
      <c r="E32" s="787"/>
      <c r="F32" s="31"/>
      <c r="G32" s="75"/>
      <c r="K32" s="94"/>
    </row>
    <row r="33" spans="1:21" ht="15.95" customHeight="1" x14ac:dyDescent="0.15">
      <c r="B33" s="828"/>
      <c r="C33" s="786"/>
      <c r="D33" s="786"/>
      <c r="E33" s="787"/>
      <c r="F33" s="31"/>
      <c r="G33" s="75"/>
      <c r="K33" s="94"/>
    </row>
    <row r="34" spans="1:21" ht="15.95" customHeight="1" x14ac:dyDescent="0.15">
      <c r="B34" s="75"/>
      <c r="E34" s="94"/>
      <c r="F34" s="31"/>
      <c r="G34" s="75"/>
      <c r="K34" s="94"/>
    </row>
    <row r="35" spans="1:21" ht="15.95" customHeight="1" x14ac:dyDescent="0.15">
      <c r="B35" s="95" t="str">
        <f>CONCATENATE("  * B - ",D37," × ",D38," × ",D39," × ",D40)</f>
        <v xml:space="preserve">  * B - 100 × 50 × 2 × 2</v>
      </c>
      <c r="E35" s="94"/>
      <c r="F35" s="31"/>
      <c r="G35" s="75"/>
      <c r="K35" s="94"/>
    </row>
    <row r="36" spans="1:21" ht="15.95" customHeight="1" x14ac:dyDescent="0.15">
      <c r="B36" s="75"/>
      <c r="E36" s="94"/>
      <c r="F36" s="31"/>
      <c r="G36" s="75"/>
      <c r="K36" s="94"/>
    </row>
    <row r="37" spans="1:21" ht="15.95" customHeight="1" x14ac:dyDescent="0.15">
      <c r="B37" s="55" t="s">
        <v>117</v>
      </c>
      <c r="C37" s="4" t="s">
        <v>4</v>
      </c>
      <c r="D37" s="688">
        <v>100</v>
      </c>
      <c r="E37" s="70" t="s">
        <v>600</v>
      </c>
      <c r="F37" s="31"/>
      <c r="G37" s="75"/>
      <c r="K37" s="94"/>
    </row>
    <row r="38" spans="1:21" ht="15.95" customHeight="1" x14ac:dyDescent="0.15">
      <c r="B38" s="55" t="s">
        <v>57</v>
      </c>
      <c r="C38" s="4" t="s">
        <v>4</v>
      </c>
      <c r="D38" s="688">
        <v>50</v>
      </c>
      <c r="E38" s="70" t="s">
        <v>600</v>
      </c>
      <c r="F38" s="31"/>
      <c r="G38" s="75"/>
      <c r="K38" s="94"/>
    </row>
    <row r="39" spans="1:21" ht="15.95" customHeight="1" x14ac:dyDescent="0.15">
      <c r="B39" s="55" t="s">
        <v>118</v>
      </c>
      <c r="C39" s="4" t="s">
        <v>4</v>
      </c>
      <c r="D39" s="688">
        <v>2</v>
      </c>
      <c r="E39" s="70" t="s">
        <v>600</v>
      </c>
      <c r="F39" s="31"/>
      <c r="G39" s="75"/>
      <c r="K39" s="94"/>
      <c r="L39" s="65"/>
    </row>
    <row r="40" spans="1:21" ht="15.95" customHeight="1" x14ac:dyDescent="0.15">
      <c r="B40" s="55" t="s">
        <v>119</v>
      </c>
      <c r="C40" s="4" t="s">
        <v>4</v>
      </c>
      <c r="D40" s="688">
        <v>2</v>
      </c>
      <c r="E40" s="70" t="s">
        <v>600</v>
      </c>
      <c r="F40" s="31"/>
      <c r="G40" s="75"/>
      <c r="K40" s="94"/>
      <c r="L40" s="65"/>
      <c r="M40" s="65"/>
      <c r="N40" s="96" t="s">
        <v>127</v>
      </c>
      <c r="O40" s="15" t="s">
        <v>4</v>
      </c>
      <c r="P40" s="97">
        <f>D37*D38-D41*D42</f>
        <v>584</v>
      </c>
      <c r="Q40" s="98" t="s">
        <v>608</v>
      </c>
      <c r="U40" s="28"/>
    </row>
    <row r="41" spans="1:21" ht="15.95" customHeight="1" x14ac:dyDescent="0.15">
      <c r="B41" s="55" t="s">
        <v>120</v>
      </c>
      <c r="C41" s="4" t="s">
        <v>4</v>
      </c>
      <c r="D41" s="7">
        <f>D37-2*D40</f>
        <v>96</v>
      </c>
      <c r="E41" s="70" t="s">
        <v>600</v>
      </c>
      <c r="F41" s="31"/>
      <c r="G41" s="75"/>
      <c r="K41" s="94"/>
      <c r="L41" s="65"/>
      <c r="M41" s="65"/>
      <c r="N41" s="96" t="s">
        <v>125</v>
      </c>
      <c r="O41" s="15" t="s">
        <v>4</v>
      </c>
      <c r="P41" s="99" t="s">
        <v>123</v>
      </c>
      <c r="Q41" s="98"/>
      <c r="U41" s="28"/>
    </row>
    <row r="42" spans="1:21" ht="15.95" customHeight="1" x14ac:dyDescent="0.15">
      <c r="B42" s="55" t="s">
        <v>121</v>
      </c>
      <c r="C42" s="4" t="s">
        <v>4</v>
      </c>
      <c r="D42" s="7">
        <f>D38-2*D39</f>
        <v>46</v>
      </c>
      <c r="E42" s="70" t="s">
        <v>600</v>
      </c>
      <c r="F42" s="31"/>
      <c r="G42" s="75"/>
      <c r="K42" s="94"/>
      <c r="L42" s="65"/>
      <c r="M42" s="65"/>
      <c r="N42" s="100"/>
      <c r="O42" s="15" t="s">
        <v>4</v>
      </c>
      <c r="P42" s="101">
        <f>D41/D39</f>
        <v>48</v>
      </c>
      <c r="Q42" s="98"/>
      <c r="U42" s="28"/>
    </row>
    <row r="43" spans="1:21" ht="15.95" customHeight="1" x14ac:dyDescent="0.15">
      <c r="B43" s="55" t="s">
        <v>6</v>
      </c>
      <c r="C43" s="4" t="s">
        <v>4</v>
      </c>
      <c r="D43" s="151">
        <f>(D38*D37^3-D42*D41^3)/12</f>
        <v>775178.66666666663</v>
      </c>
      <c r="E43" s="70" t="s">
        <v>604</v>
      </c>
      <c r="F43" s="31"/>
      <c r="G43" s="75"/>
      <c r="K43" s="94"/>
      <c r="L43" s="65"/>
      <c r="M43" s="65"/>
      <c r="N43" s="96" t="s">
        <v>126</v>
      </c>
      <c r="O43" s="15" t="s">
        <v>4</v>
      </c>
      <c r="P43" s="99" t="s">
        <v>124</v>
      </c>
      <c r="Q43" s="98"/>
      <c r="U43" s="28"/>
    </row>
    <row r="44" spans="1:21" ht="15.95" customHeight="1" thickBot="1" x14ac:dyDescent="0.2">
      <c r="B44" s="71" t="s">
        <v>46</v>
      </c>
      <c r="C44" s="17" t="s">
        <v>4</v>
      </c>
      <c r="D44" s="158">
        <f>D43/(D37/2)</f>
        <v>15503.573333333332</v>
      </c>
      <c r="E44" s="72" t="s">
        <v>605</v>
      </c>
      <c r="F44" s="31"/>
      <c r="G44" s="78"/>
      <c r="H44" s="77"/>
      <c r="I44" s="77"/>
      <c r="J44" s="77"/>
      <c r="K44" s="124"/>
      <c r="L44" s="65"/>
      <c r="M44" s="65"/>
      <c r="N44" s="100"/>
      <c r="O44" s="15" t="s">
        <v>4</v>
      </c>
      <c r="P44" s="101">
        <f>D42/D40</f>
        <v>23</v>
      </c>
      <c r="Q44" s="98"/>
      <c r="U44" s="28"/>
    </row>
    <row r="45" spans="1:21" ht="15.95" customHeight="1" x14ac:dyDescent="0.15">
      <c r="B45" s="31"/>
      <c r="C45" s="31"/>
      <c r="D45" s="31"/>
      <c r="E45" s="31"/>
      <c r="F45" s="31"/>
      <c r="L45" s="65"/>
      <c r="U45" s="28"/>
    </row>
    <row r="46" spans="1:21" ht="15.95" customHeight="1" x14ac:dyDescent="0.15">
      <c r="B46" s="796" t="s">
        <v>1217</v>
      </c>
      <c r="C46" s="796"/>
      <c r="D46" s="796"/>
      <c r="E46" s="796"/>
      <c r="F46" s="796"/>
      <c r="G46" s="796"/>
      <c r="H46" s="796"/>
      <c r="I46" s="796"/>
      <c r="J46" s="796"/>
      <c r="K46" s="796"/>
      <c r="L46" s="65"/>
    </row>
    <row r="47" spans="1:21" s="2" customFormat="1" ht="15.95" hidden="1" customHeight="1" x14ac:dyDescent="0.15">
      <c r="A47" s="112"/>
      <c r="B47" s="112" t="s">
        <v>432</v>
      </c>
    </row>
    <row r="48" spans="1:21" s="2" customFormat="1" ht="15.95" hidden="1" customHeight="1" x14ac:dyDescent="0.15"/>
    <row r="49" spans="1:9" s="2" customFormat="1" ht="15.95" hidden="1" customHeight="1" x14ac:dyDescent="0.15">
      <c r="B49" s="113"/>
    </row>
    <row r="50" spans="1:9" s="2" customFormat="1" ht="15.95" hidden="1" customHeight="1" x14ac:dyDescent="0.15">
      <c r="A50" s="114"/>
    </row>
    <row r="51" spans="1:9" s="2" customFormat="1" ht="15.95" hidden="1" customHeight="1" x14ac:dyDescent="0.15">
      <c r="A51" s="114"/>
    </row>
    <row r="52" spans="1:9" s="2" customFormat="1" ht="15.95" hidden="1" customHeight="1" x14ac:dyDescent="0.15">
      <c r="A52" s="114"/>
    </row>
    <row r="53" spans="1:9" s="2" customFormat="1" ht="15.95" hidden="1" customHeight="1" x14ac:dyDescent="0.15">
      <c r="A53" s="114"/>
    </row>
    <row r="54" spans="1:9" s="2" customFormat="1" ht="15.95" hidden="1" customHeight="1" x14ac:dyDescent="0.15">
      <c r="A54" s="114"/>
      <c r="G54" s="20"/>
    </row>
    <row r="55" spans="1:9" s="2" customFormat="1" ht="15.95" hidden="1" customHeight="1" x14ac:dyDescent="0.15">
      <c r="A55" s="114"/>
      <c r="G55" s="82"/>
    </row>
    <row r="56" spans="1:9" s="2" customFormat="1" ht="15.95" hidden="1" customHeight="1" x14ac:dyDescent="0.15">
      <c r="A56" s="114"/>
      <c r="G56" s="20"/>
    </row>
    <row r="57" spans="1:9" s="2" customFormat="1" ht="15.95" hidden="1" customHeight="1" x14ac:dyDescent="0.15">
      <c r="A57" s="114"/>
      <c r="G57" s="20"/>
    </row>
    <row r="58" spans="1:9" s="2" customFormat="1" ht="15.95" hidden="1" customHeight="1" x14ac:dyDescent="0.15">
      <c r="A58" s="114"/>
      <c r="G58" s="20"/>
      <c r="I58" s="114"/>
    </row>
    <row r="59" spans="1:9" s="2" customFormat="1" ht="15.95" hidden="1" customHeight="1" x14ac:dyDescent="0.15">
      <c r="B59" s="8" t="s">
        <v>135</v>
      </c>
      <c r="G59" s="20"/>
    </row>
    <row r="60" spans="1:9" s="2" customFormat="1" ht="15.95" hidden="1" customHeight="1" x14ac:dyDescent="0.15">
      <c r="G60" s="62"/>
    </row>
    <row r="61" spans="1:9" s="2" customFormat="1" ht="15.95" hidden="1" customHeight="1" x14ac:dyDescent="0.15">
      <c r="B61" s="20" t="s">
        <v>129</v>
      </c>
      <c r="C61" s="4" t="s">
        <v>4</v>
      </c>
      <c r="D61" s="20" t="s">
        <v>130</v>
      </c>
      <c r="E61" s="4" t="s">
        <v>4</v>
      </c>
      <c r="F61" s="20" t="s">
        <v>436</v>
      </c>
      <c r="G61" s="4" t="s">
        <v>9</v>
      </c>
      <c r="H61" s="20" t="s">
        <v>146</v>
      </c>
      <c r="I61" s="20"/>
    </row>
    <row r="62" spans="1:9" s="2" customFormat="1" ht="15.95" hidden="1" customHeight="1" x14ac:dyDescent="0.15">
      <c r="B62" s="20" t="s">
        <v>433</v>
      </c>
      <c r="C62" s="4" t="s">
        <v>4</v>
      </c>
      <c r="D62" s="20" t="s">
        <v>437</v>
      </c>
      <c r="E62" s="4" t="s">
        <v>4</v>
      </c>
      <c r="F62" s="20" t="s">
        <v>436</v>
      </c>
      <c r="G62" s="4" t="s">
        <v>9</v>
      </c>
      <c r="H62" s="20" t="s">
        <v>434</v>
      </c>
      <c r="I62" s="20"/>
    </row>
    <row r="63" spans="1:9" s="2" customFormat="1" ht="15.95" hidden="1" customHeight="1" x14ac:dyDescent="0.15">
      <c r="B63" s="20" t="s">
        <v>109</v>
      </c>
      <c r="C63" s="4" t="s">
        <v>4</v>
      </c>
      <c r="D63" s="20" t="s">
        <v>435</v>
      </c>
      <c r="E63" s="20"/>
      <c r="G63" s="4" t="s">
        <v>9</v>
      </c>
      <c r="H63" s="20" t="s">
        <v>147</v>
      </c>
      <c r="I63" s="20"/>
    </row>
    <row r="64" spans="1:9" s="2" customFormat="1" ht="15.95" hidden="1" customHeight="1" x14ac:dyDescent="0.15">
      <c r="B64" s="62" t="s">
        <v>165</v>
      </c>
      <c r="C64" s="4" t="s">
        <v>4</v>
      </c>
      <c r="D64" s="20" t="s">
        <v>438</v>
      </c>
      <c r="E64" s="20"/>
      <c r="G64" s="4" t="s">
        <v>9</v>
      </c>
      <c r="H64" s="20" t="s">
        <v>148</v>
      </c>
      <c r="I64" s="20"/>
    </row>
    <row r="65" spans="1:13" s="2" customFormat="1" ht="15.95" hidden="1" customHeight="1" x14ac:dyDescent="0.15">
      <c r="H65" s="4"/>
      <c r="I65" s="20"/>
    </row>
    <row r="66" spans="1:13" s="2" customFormat="1" ht="15.95" hidden="1" customHeight="1" x14ac:dyDescent="0.15"/>
    <row r="67" spans="1:13" s="2" customFormat="1" ht="15.95" hidden="1" customHeight="1" x14ac:dyDescent="0.15">
      <c r="A67" s="114"/>
      <c r="B67" s="8" t="s">
        <v>136</v>
      </c>
    </row>
    <row r="68" spans="1:13" s="2" customFormat="1" ht="15.95" hidden="1" customHeight="1" x14ac:dyDescent="0.15"/>
    <row r="69" spans="1:13" s="2" customFormat="1" ht="15.95" hidden="1" customHeight="1" x14ac:dyDescent="0.15">
      <c r="B69" s="119" t="s">
        <v>2</v>
      </c>
      <c r="C69" s="11" t="s">
        <v>4</v>
      </c>
      <c r="D69" s="142">
        <f>D9</f>
        <v>5000</v>
      </c>
      <c r="E69" s="2" t="s">
        <v>603</v>
      </c>
      <c r="G69" s="4" t="s">
        <v>9</v>
      </c>
      <c r="H69" s="20" t="s">
        <v>452</v>
      </c>
      <c r="J69" s="20"/>
      <c r="K69" s="20"/>
    </row>
    <row r="70" spans="1:13" s="2" customFormat="1" ht="15.95" hidden="1" customHeight="1" x14ac:dyDescent="0.15">
      <c r="B70" s="120" t="s">
        <v>3</v>
      </c>
      <c r="C70" s="11" t="s">
        <v>4</v>
      </c>
      <c r="D70" s="142">
        <f>(D7+D8)/2</f>
        <v>1350</v>
      </c>
      <c r="E70" s="2" t="s">
        <v>603</v>
      </c>
      <c r="G70" s="4" t="s">
        <v>9</v>
      </c>
      <c r="H70" s="20" t="s">
        <v>439</v>
      </c>
      <c r="J70" s="4"/>
      <c r="K70" s="20"/>
    </row>
    <row r="71" spans="1:13" s="2" customFormat="1" ht="15.95" hidden="1" customHeight="1" x14ac:dyDescent="0.15">
      <c r="B71" s="120" t="s">
        <v>11</v>
      </c>
      <c r="C71" s="11" t="s">
        <v>4</v>
      </c>
      <c r="D71" s="159">
        <f>ABS(D5*D70/10^3)</f>
        <v>0</v>
      </c>
      <c r="E71" s="8" t="s">
        <v>581</v>
      </c>
      <c r="F71" s="113"/>
      <c r="G71" s="4" t="s">
        <v>9</v>
      </c>
      <c r="H71" s="20" t="s">
        <v>430</v>
      </c>
      <c r="J71" s="4"/>
      <c r="K71" s="20"/>
    </row>
    <row r="72" spans="1:13" s="2" customFormat="1" ht="15.95" hidden="1" customHeight="1" x14ac:dyDescent="0.15">
      <c r="B72" s="120" t="s">
        <v>5</v>
      </c>
      <c r="C72" s="11" t="s">
        <v>4</v>
      </c>
      <c r="D72" s="142">
        <f>D6</f>
        <v>210000</v>
      </c>
      <c r="E72" s="27" t="s">
        <v>561</v>
      </c>
      <c r="G72" s="4" t="s">
        <v>9</v>
      </c>
      <c r="H72" s="20" t="s">
        <v>140</v>
      </c>
      <c r="J72" s="4"/>
      <c r="K72" s="20"/>
    </row>
    <row r="73" spans="1:13" s="2" customFormat="1" ht="15.95" hidden="1" customHeight="1" x14ac:dyDescent="0.15">
      <c r="B73" s="120" t="s">
        <v>10</v>
      </c>
      <c r="C73" s="11" t="s">
        <v>4</v>
      </c>
      <c r="D73" s="142">
        <f>D43</f>
        <v>775178.66666666663</v>
      </c>
      <c r="E73" s="2" t="s">
        <v>598</v>
      </c>
      <c r="G73" s="4" t="s">
        <v>9</v>
      </c>
      <c r="H73" s="20" t="s">
        <v>141</v>
      </c>
      <c r="J73" s="4"/>
      <c r="K73" s="20"/>
    </row>
    <row r="74" spans="1:13" s="2" customFormat="1" ht="15.95" hidden="1" customHeight="1" x14ac:dyDescent="0.15">
      <c r="J74" s="4"/>
      <c r="K74" s="20"/>
    </row>
    <row r="75" spans="1:13" s="2" customFormat="1" ht="15.95" hidden="1" customHeight="1" x14ac:dyDescent="0.15">
      <c r="A75" s="9"/>
      <c r="B75" s="8" t="s">
        <v>149</v>
      </c>
      <c r="J75" s="4"/>
      <c r="K75" s="20"/>
    </row>
    <row r="76" spans="1:13" s="2" customFormat="1" ht="15.95" hidden="1" customHeight="1" x14ac:dyDescent="0.15">
      <c r="J76" s="4"/>
      <c r="K76" s="20"/>
      <c r="L76" s="116"/>
      <c r="M76" s="114"/>
    </row>
    <row r="77" spans="1:13" s="2" customFormat="1" ht="15.95" hidden="1" customHeight="1" x14ac:dyDescent="0.15">
      <c r="A77" s="2" t="s">
        <v>1</v>
      </c>
      <c r="B77" s="20" t="s">
        <v>129</v>
      </c>
      <c r="C77" s="11" t="s">
        <v>4</v>
      </c>
      <c r="D77" s="20" t="s">
        <v>436</v>
      </c>
      <c r="G77" s="20"/>
      <c r="K77" s="20"/>
    </row>
    <row r="78" spans="1:13" s="2" customFormat="1" ht="15.95" hidden="1" customHeight="1" x14ac:dyDescent="0.15">
      <c r="B78" s="113"/>
      <c r="C78" s="11" t="s">
        <v>4</v>
      </c>
      <c r="D78" s="147">
        <f>D71*D69/2</f>
        <v>0</v>
      </c>
      <c r="E78" s="8" t="s">
        <v>599</v>
      </c>
      <c r="G78" s="20"/>
      <c r="K78" s="20"/>
    </row>
    <row r="79" spans="1:13" s="2" customFormat="1" ht="15.95" hidden="1" customHeight="1" x14ac:dyDescent="0.15">
      <c r="B79" s="114"/>
      <c r="C79" s="117"/>
      <c r="D79" s="115"/>
      <c r="G79" s="20"/>
      <c r="K79" s="20"/>
    </row>
    <row r="80" spans="1:13" s="2" customFormat="1" ht="15.95" hidden="1" customHeight="1" x14ac:dyDescent="0.15">
      <c r="B80" s="20" t="s">
        <v>433</v>
      </c>
      <c r="C80" s="11" t="s">
        <v>4</v>
      </c>
      <c r="D80" s="20" t="s">
        <v>436</v>
      </c>
      <c r="G80" s="62"/>
      <c r="K80" s="20"/>
    </row>
    <row r="81" spans="2:21" s="2" customFormat="1" ht="15.95" hidden="1" customHeight="1" x14ac:dyDescent="0.15">
      <c r="B81" s="118"/>
      <c r="C81" s="11" t="s">
        <v>4</v>
      </c>
      <c r="D81" s="147">
        <f>D71*D69/2</f>
        <v>0</v>
      </c>
      <c r="E81" s="8" t="s">
        <v>599</v>
      </c>
      <c r="K81" s="20"/>
    </row>
    <row r="82" spans="2:21" s="2" customFormat="1" ht="15.95" hidden="1" customHeight="1" x14ac:dyDescent="0.15">
      <c r="B82" s="118"/>
      <c r="C82" s="117"/>
      <c r="D82" s="14"/>
      <c r="K82" s="20"/>
    </row>
    <row r="83" spans="2:21" s="2" customFormat="1" ht="15.95" hidden="1" customHeight="1" x14ac:dyDescent="0.15">
      <c r="B83" s="20" t="s">
        <v>109</v>
      </c>
      <c r="C83" s="11" t="s">
        <v>4</v>
      </c>
      <c r="D83" s="20" t="s">
        <v>435</v>
      </c>
      <c r="F83" s="20"/>
      <c r="K83" s="20"/>
      <c r="N83" s="147"/>
      <c r="O83" s="27"/>
    </row>
    <row r="84" spans="2:21" s="2" customFormat="1" ht="15.95" hidden="1" customHeight="1" x14ac:dyDescent="0.15">
      <c r="C84" s="11" t="s">
        <v>4</v>
      </c>
      <c r="D84" s="147">
        <f>D71*D69^2/8</f>
        <v>0</v>
      </c>
      <c r="E84" s="27" t="s">
        <v>601</v>
      </c>
      <c r="F84" s="20"/>
      <c r="K84" s="20"/>
      <c r="N84" s="414"/>
    </row>
    <row r="85" spans="2:21" s="2" customFormat="1" ht="15.95" hidden="1" customHeight="1" x14ac:dyDescent="0.15">
      <c r="B85" s="118"/>
      <c r="C85" s="117"/>
      <c r="D85" s="14"/>
      <c r="K85" s="20"/>
    </row>
    <row r="86" spans="2:21" s="2" customFormat="1" ht="15.95" hidden="1" customHeight="1" x14ac:dyDescent="0.15">
      <c r="B86" s="62" t="s">
        <v>165</v>
      </c>
      <c r="C86" s="11" t="s">
        <v>4</v>
      </c>
      <c r="D86" s="20" t="s">
        <v>438</v>
      </c>
      <c r="K86" s="20"/>
      <c r="N86" s="412"/>
      <c r="O86" s="27"/>
    </row>
    <row r="87" spans="2:21" s="2" customFormat="1" ht="15.95" hidden="1" customHeight="1" x14ac:dyDescent="0.15">
      <c r="B87" s="118"/>
      <c r="C87" s="11" t="s">
        <v>4</v>
      </c>
      <c r="D87" s="63">
        <f>(5*D71*D69^4)/(384*D72*D73)</f>
        <v>0</v>
      </c>
      <c r="E87" s="8" t="s">
        <v>603</v>
      </c>
      <c r="K87" s="20"/>
      <c r="N87" s="414"/>
    </row>
    <row r="88" spans="2:21" ht="15.95" hidden="1" customHeight="1" x14ac:dyDescent="0.15">
      <c r="B88" s="110"/>
      <c r="C88" s="4"/>
      <c r="D88" s="110"/>
      <c r="H88" s="27"/>
      <c r="K88" s="20"/>
    </row>
    <row r="89" spans="2:21" ht="15.95" hidden="1" customHeight="1" x14ac:dyDescent="0.15">
      <c r="C89" s="4"/>
      <c r="D89" s="14"/>
      <c r="E89" s="27"/>
      <c r="K89" s="20"/>
    </row>
    <row r="90" spans="2:21" ht="15.95" hidden="1" customHeight="1" x14ac:dyDescent="0.15">
      <c r="B90" s="111"/>
      <c r="C90" s="4"/>
      <c r="D90" s="110"/>
      <c r="H90" s="27"/>
      <c r="J90" s="27"/>
      <c r="K90" s="20"/>
    </row>
    <row r="91" spans="2:21" ht="15.95" hidden="1" customHeight="1" x14ac:dyDescent="0.15">
      <c r="B91" s="52"/>
      <c r="C91" s="4"/>
      <c r="D91" s="18"/>
      <c r="E91" s="27"/>
      <c r="K91" s="20"/>
    </row>
    <row r="92" spans="2:21" ht="15.95" hidden="1" customHeight="1" x14ac:dyDescent="0.15">
      <c r="B92" s="52"/>
      <c r="C92" s="4"/>
      <c r="K92" s="20"/>
    </row>
    <row r="93" spans="2:21" s="31" customFormat="1" ht="15.95" hidden="1" customHeight="1" x14ac:dyDescent="0.15">
      <c r="B93" s="5" t="s">
        <v>189</v>
      </c>
    </row>
    <row r="94" spans="2:21" s="31" customFormat="1" ht="15.95" hidden="1" customHeight="1" x14ac:dyDescent="0.15">
      <c r="D94" s="36"/>
      <c r="O94" s="58"/>
      <c r="Q94" s="58"/>
      <c r="S94" s="58"/>
      <c r="U94" s="58"/>
    </row>
    <row r="95" spans="2:21" s="31" customFormat="1" ht="15.95" hidden="1" customHeight="1" x14ac:dyDescent="0.15">
      <c r="B95" s="6" t="s">
        <v>109</v>
      </c>
      <c r="C95" s="11" t="s">
        <v>4</v>
      </c>
      <c r="D95" s="142">
        <f>D84</f>
        <v>0</v>
      </c>
      <c r="E95" s="2" t="s">
        <v>602</v>
      </c>
      <c r="F95" s="2"/>
      <c r="G95" s="11" t="s">
        <v>9</v>
      </c>
      <c r="H95" s="6" t="s">
        <v>182</v>
      </c>
      <c r="I95" s="2"/>
      <c r="J95" s="2"/>
      <c r="K95" s="2"/>
      <c r="L95" s="2"/>
      <c r="M95" s="2"/>
      <c r="N95" s="2"/>
      <c r="O95" s="2"/>
    </row>
    <row r="96" spans="2:21" s="31" customFormat="1" ht="15.95" hidden="1" customHeight="1" x14ac:dyDescent="0.15">
      <c r="B96" s="19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2:16" s="31" customFormat="1" ht="15.95" hidden="1" customHeight="1" x14ac:dyDescent="0.15">
      <c r="B97" s="6" t="s">
        <v>179</v>
      </c>
      <c r="C97" s="11" t="s">
        <v>4</v>
      </c>
      <c r="D97" s="142">
        <f>D44</f>
        <v>15503.573333333332</v>
      </c>
      <c r="E97" s="2" t="s">
        <v>606</v>
      </c>
      <c r="F97" s="2"/>
      <c r="G97" s="11" t="s">
        <v>9</v>
      </c>
      <c r="H97" s="6" t="s">
        <v>183</v>
      </c>
      <c r="I97" s="2"/>
      <c r="J97" s="2"/>
      <c r="K97" s="2"/>
      <c r="L97" s="2"/>
      <c r="M97" s="2"/>
      <c r="N97" s="2"/>
      <c r="O97" s="2"/>
    </row>
    <row r="98" spans="2:16" s="31" customFormat="1" ht="15.95" hidden="1" customHeight="1" x14ac:dyDescent="0.15">
      <c r="B98" s="2"/>
      <c r="C98" s="2"/>
      <c r="D98" s="8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2:16" s="31" customFormat="1" ht="15.95" hidden="1" customHeight="1" x14ac:dyDescent="0.15">
      <c r="B99" s="2"/>
      <c r="C99" s="1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2:16" s="31" customFormat="1" ht="15.95" hidden="1" customHeight="1" x14ac:dyDescent="0.15">
      <c r="B100" s="19" t="s">
        <v>177</v>
      </c>
      <c r="C100" s="2"/>
      <c r="D100" s="1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2:16" s="31" customFormat="1" ht="15.95" hidden="1" customHeight="1" x14ac:dyDescent="0.15">
      <c r="B101" s="2"/>
      <c r="C101" s="2"/>
      <c r="D101" s="8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2:16" s="31" customFormat="1" ht="15.95" hidden="1" customHeight="1" x14ac:dyDescent="0.15">
      <c r="B102" s="16" t="s">
        <v>180</v>
      </c>
      <c r="C102" s="4" t="s">
        <v>4</v>
      </c>
      <c r="D102" s="20" t="s">
        <v>625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2:16" s="31" customFormat="1" ht="15.95" hidden="1" customHeight="1" x14ac:dyDescent="0.15">
      <c r="B103" s="2"/>
      <c r="C103" s="11" t="s">
        <v>4</v>
      </c>
      <c r="D103" s="13">
        <f>0.85*D95/D97</f>
        <v>0</v>
      </c>
      <c r="E103" s="2" t="s">
        <v>607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2:16" s="31" customFormat="1" ht="15.95" hidden="1" customHeight="1" x14ac:dyDescent="0.15">
      <c r="B104" s="2"/>
      <c r="C104" s="2"/>
      <c r="D104" s="8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2:16" s="31" customFormat="1" ht="15.95" hidden="1" customHeight="1" x14ac:dyDescent="0.15">
      <c r="B105" s="2"/>
      <c r="C105" s="2"/>
      <c r="D105" s="8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2:16" s="31" customFormat="1" ht="15.95" hidden="1" customHeight="1" x14ac:dyDescent="0.15">
      <c r="B106" s="19" t="s">
        <v>178</v>
      </c>
      <c r="C106" s="2"/>
      <c r="D106" s="2"/>
      <c r="E106" s="8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2:16" s="31" customFormat="1" ht="15.95" hidden="1" customHeight="1" x14ac:dyDescent="0.15">
      <c r="B107" s="19"/>
      <c r="C107" s="2"/>
      <c r="D107" s="2"/>
      <c r="E107" s="2"/>
      <c r="F107" s="2"/>
      <c r="G107" s="11"/>
      <c r="H107" s="6"/>
      <c r="I107" s="2"/>
      <c r="J107" s="2"/>
      <c r="K107" s="2"/>
      <c r="L107" s="2"/>
      <c r="M107" s="432">
        <f>M1</f>
        <v>1</v>
      </c>
      <c r="N107" s="2"/>
      <c r="P107" s="2"/>
    </row>
    <row r="108" spans="2:16" s="31" customFormat="1" ht="15.95" hidden="1" customHeight="1" x14ac:dyDescent="0.15">
      <c r="B108" s="20" t="s">
        <v>185</v>
      </c>
      <c r="C108" s="4" t="s">
        <v>4</v>
      </c>
      <c r="D108" s="13">
        <f>IF(M107=M108,N108,N109)</f>
        <v>275</v>
      </c>
      <c r="E108" s="13" t="s">
        <v>561</v>
      </c>
      <c r="F108" s="8"/>
      <c r="G108" s="4" t="s">
        <v>9</v>
      </c>
      <c r="H108" s="20" t="str">
        <f>IF(M107=M108,O108,O109)</f>
        <v>SS 275  Yield Strength</v>
      </c>
      <c r="I108" s="2"/>
      <c r="J108" s="2"/>
      <c r="K108" s="2"/>
      <c r="L108" s="2"/>
      <c r="M108" s="430">
        <v>1</v>
      </c>
      <c r="N108" s="431">
        <v>275</v>
      </c>
      <c r="O108" s="429" t="s">
        <v>842</v>
      </c>
      <c r="P108" s="2"/>
    </row>
    <row r="109" spans="2:16" s="31" customFormat="1" ht="15.95" hidden="1" customHeight="1" x14ac:dyDescent="0.15">
      <c r="B109" s="20" t="s">
        <v>365</v>
      </c>
      <c r="C109" s="4" t="s">
        <v>4</v>
      </c>
      <c r="D109" s="64" t="s">
        <v>843</v>
      </c>
      <c r="E109" s="20"/>
      <c r="F109" s="8"/>
      <c r="G109" s="8"/>
      <c r="H109" s="8"/>
      <c r="I109" s="2"/>
      <c r="J109" s="8"/>
      <c r="K109" s="8"/>
      <c r="L109" s="8"/>
      <c r="M109" s="430">
        <v>2</v>
      </c>
      <c r="N109" s="431">
        <v>205</v>
      </c>
      <c r="O109" s="429" t="s">
        <v>1081</v>
      </c>
      <c r="P109" s="2"/>
    </row>
    <row r="110" spans="2:16" s="31" customFormat="1" ht="15.95" hidden="1" customHeight="1" x14ac:dyDescent="0.15">
      <c r="B110" s="22"/>
      <c r="C110" s="4" t="s">
        <v>4</v>
      </c>
      <c r="D110" s="13">
        <f>0.66*D108</f>
        <v>181.5</v>
      </c>
      <c r="E110" s="13" t="s">
        <v>561</v>
      </c>
      <c r="F110" s="8"/>
      <c r="G110" s="8"/>
      <c r="H110" s="8"/>
      <c r="I110" s="8"/>
      <c r="J110" s="8"/>
      <c r="K110" s="8"/>
      <c r="L110" s="8"/>
      <c r="M110" s="2"/>
      <c r="N110" s="2"/>
      <c r="O110" s="2"/>
      <c r="P110" s="2"/>
    </row>
    <row r="111" spans="2:16" s="31" customFormat="1" ht="15.95" hidden="1" customHeight="1" x14ac:dyDescent="0.15">
      <c r="B111" s="10"/>
      <c r="C111" s="4"/>
      <c r="D111" s="13"/>
      <c r="E111" s="2"/>
      <c r="F111" s="2"/>
      <c r="G111" s="8"/>
      <c r="H111" s="8"/>
      <c r="I111" s="8"/>
      <c r="J111" s="8"/>
      <c r="K111" s="8"/>
      <c r="L111" s="8"/>
      <c r="M111" s="2"/>
      <c r="N111" s="2"/>
      <c r="O111" s="2"/>
      <c r="P111" s="2"/>
    </row>
    <row r="112" spans="2:16" ht="15.95" hidden="1" customHeight="1" x14ac:dyDescent="0.15">
      <c r="B112" s="19" t="s">
        <v>187</v>
      </c>
      <c r="M112" s="2"/>
      <c r="N112" s="2"/>
      <c r="O112" s="2"/>
      <c r="P112" s="2"/>
    </row>
    <row r="113" spans="2:16" ht="15.95" hidden="1" customHeight="1" x14ac:dyDescent="0.15">
      <c r="B113" s="19"/>
      <c r="M113" s="2"/>
      <c r="N113" s="2"/>
      <c r="O113" s="2"/>
      <c r="P113" s="2"/>
    </row>
    <row r="114" spans="2:16" ht="15.95" hidden="1" customHeight="1" x14ac:dyDescent="0.15">
      <c r="B114" s="20" t="s">
        <v>188</v>
      </c>
      <c r="C114" s="4" t="s">
        <v>4</v>
      </c>
      <c r="D114" s="22">
        <f>D103/D110</f>
        <v>0</v>
      </c>
      <c r="E114" s="23" t="str">
        <f>IF(D114&gt;F114,"&gt;","&lt;")</f>
        <v>&lt;</v>
      </c>
      <c r="F114" s="3">
        <v>1</v>
      </c>
      <c r="G114" s="91" t="str">
        <f>IF(D114&lt;F114,"O.K.","N.G.")</f>
        <v>O.K.</v>
      </c>
      <c r="M114" s="2"/>
      <c r="N114" s="2"/>
      <c r="O114" s="2"/>
      <c r="P114" s="2"/>
    </row>
    <row r="115" spans="2:16" s="31" customFormat="1" ht="15.95" hidden="1" customHeight="1" x14ac:dyDescent="0.15">
      <c r="B115" s="10"/>
      <c r="C115" s="4"/>
      <c r="D115" s="13"/>
      <c r="E115" s="2"/>
      <c r="F115" s="2"/>
      <c r="G115" s="8"/>
      <c r="H115" s="8"/>
      <c r="I115" s="8"/>
      <c r="J115" s="8"/>
      <c r="K115" s="8"/>
      <c r="L115" s="8"/>
      <c r="M115" s="2"/>
      <c r="N115" s="139"/>
      <c r="O115" s="2"/>
    </row>
    <row r="116" spans="2:16" s="31" customFormat="1" ht="15.95" hidden="1" customHeight="1" x14ac:dyDescent="0.15">
      <c r="B116" s="10"/>
      <c r="C116" s="4"/>
      <c r="D116" s="13"/>
      <c r="E116" s="2"/>
      <c r="F116" s="2"/>
      <c r="G116" s="8"/>
      <c r="H116" s="8"/>
      <c r="I116" s="8"/>
      <c r="J116" s="8"/>
      <c r="K116" s="8"/>
      <c r="L116" s="8"/>
      <c r="M116" s="2"/>
      <c r="N116" s="139"/>
      <c r="O116" s="2"/>
    </row>
    <row r="117" spans="2:16" ht="15.95" hidden="1" customHeight="1" x14ac:dyDescent="0.15">
      <c r="B117" s="24" t="s">
        <v>190</v>
      </c>
    </row>
    <row r="118" spans="2:16" ht="15.95" hidden="1" customHeight="1" x14ac:dyDescent="0.15"/>
    <row r="119" spans="2:16" ht="15.95" hidden="1" customHeight="1" x14ac:dyDescent="0.15">
      <c r="B119" s="19" t="s">
        <v>192</v>
      </c>
    </row>
    <row r="120" spans="2:16" ht="15.95" hidden="1" customHeight="1" x14ac:dyDescent="0.15">
      <c r="B120" s="19"/>
    </row>
    <row r="121" spans="2:16" ht="15.95" hidden="1" customHeight="1" x14ac:dyDescent="0.15">
      <c r="B121" s="62" t="s">
        <v>165</v>
      </c>
      <c r="C121" s="4" t="s">
        <v>4</v>
      </c>
      <c r="D121" s="8">
        <f>D16</f>
        <v>0</v>
      </c>
      <c r="E121" s="13" t="s">
        <v>583</v>
      </c>
    </row>
    <row r="122" spans="2:16" ht="15.95" hidden="1" customHeight="1" x14ac:dyDescent="0.15"/>
    <row r="123" spans="2:16" ht="15.95" hidden="1" customHeight="1" x14ac:dyDescent="0.15"/>
    <row r="124" spans="2:16" ht="15.95" hidden="1" customHeight="1" x14ac:dyDescent="0.15">
      <c r="B124" s="19" t="s">
        <v>191</v>
      </c>
      <c r="E124" s="26" t="s">
        <v>195</v>
      </c>
    </row>
    <row r="125" spans="2:16" ht="15.95" hidden="1" customHeight="1" x14ac:dyDescent="0.15">
      <c r="B125" s="19"/>
    </row>
    <row r="126" spans="2:16" ht="15.95" hidden="1" customHeight="1" x14ac:dyDescent="0.15">
      <c r="B126" s="62" t="s">
        <v>2</v>
      </c>
      <c r="C126" s="4" t="s">
        <v>4</v>
      </c>
      <c r="D126" s="142">
        <f>D9</f>
        <v>5000</v>
      </c>
      <c r="E126" s="8" t="str">
        <f>IF(D126&gt;4110,"mm      &gt;     4110 mm","mm     ≤     4110 mm")</f>
        <v>mm      &gt;     4110 mm</v>
      </c>
      <c r="M126" s="27" t="s">
        <v>196</v>
      </c>
      <c r="N126" s="25">
        <f>D126/240+6.35</f>
        <v>27.18333333333333</v>
      </c>
    </row>
    <row r="127" spans="2:16" ht="15.95" hidden="1" customHeight="1" x14ac:dyDescent="0.15">
      <c r="B127" s="62" t="s">
        <v>193</v>
      </c>
      <c r="C127" s="4" t="s">
        <v>4</v>
      </c>
      <c r="D127" s="152">
        <f>D126</f>
        <v>5000</v>
      </c>
      <c r="E127" s="19" t="str">
        <f>IF(D126&lt;4110,"mm      /     175","mm      /      240 + 6.35 mm ")</f>
        <v xml:space="preserve">mm      /      240 + 6.35 mm </v>
      </c>
      <c r="M127" s="27" t="s">
        <v>197</v>
      </c>
      <c r="N127" s="25">
        <f>D126/175</f>
        <v>28.571428571428573</v>
      </c>
    </row>
    <row r="128" spans="2:16" ht="15.95" hidden="1" customHeight="1" x14ac:dyDescent="0.15">
      <c r="B128" s="22"/>
      <c r="C128" s="4" t="s">
        <v>4</v>
      </c>
      <c r="D128" s="22">
        <f>IF(D126&gt;4110,N126,N127)</f>
        <v>27.18333333333333</v>
      </c>
      <c r="E128" s="8" t="s">
        <v>600</v>
      </c>
    </row>
    <row r="129" spans="1:21" ht="15.95" hidden="1" customHeight="1" x14ac:dyDescent="0.15"/>
    <row r="130" spans="1:21" ht="15.95" hidden="1" customHeight="1" x14ac:dyDescent="0.15"/>
    <row r="131" spans="1:21" ht="15.95" hidden="1" customHeight="1" x14ac:dyDescent="0.15">
      <c r="B131" s="19" t="s">
        <v>198</v>
      </c>
    </row>
    <row r="132" spans="1:21" s="4" customFormat="1" ht="15.95" hidden="1" customHeight="1" x14ac:dyDescent="0.15">
      <c r="A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O132" s="8"/>
      <c r="P132" s="8"/>
      <c r="Q132" s="8"/>
      <c r="R132" s="8"/>
      <c r="S132" s="8"/>
      <c r="T132" s="8"/>
      <c r="U132" s="8"/>
    </row>
    <row r="133" spans="1:21" s="4" customFormat="1" ht="15.95" hidden="1" customHeight="1" x14ac:dyDescent="0.15">
      <c r="A133" s="8"/>
      <c r="B133" s="20" t="s">
        <v>405</v>
      </c>
      <c r="C133" s="4" t="s">
        <v>4</v>
      </c>
      <c r="D133" s="22">
        <f>D121/(D128)</f>
        <v>0</v>
      </c>
      <c r="E133" s="23" t="str">
        <f>IF(D133&gt;F133,"&gt;","&lt;")</f>
        <v>&lt;</v>
      </c>
      <c r="F133" s="3">
        <v>1</v>
      </c>
      <c r="G133" s="91" t="str">
        <f>IF(D133&lt;F133,"O.K.","N.G.")</f>
        <v>O.K.</v>
      </c>
      <c r="I133" s="27"/>
      <c r="J133" s="27"/>
      <c r="K133" s="27"/>
      <c r="L133" s="27"/>
      <c r="M133" s="27"/>
      <c r="O133" s="8"/>
      <c r="P133" s="8"/>
      <c r="Q133" s="8"/>
      <c r="R133" s="8"/>
      <c r="S133" s="8"/>
      <c r="T133" s="8"/>
      <c r="U133" s="8"/>
    </row>
    <row r="134" spans="1:21" ht="15.95" hidden="1" customHeight="1" x14ac:dyDescent="0.15"/>
    <row r="135" spans="1:21" ht="15.95" hidden="1" customHeight="1" x14ac:dyDescent="0.15"/>
    <row r="136" spans="1:21" ht="15.95" hidden="1" customHeight="1" x14ac:dyDescent="0.15"/>
    <row r="137" spans="1:21" ht="15.95" hidden="1" customHeight="1" x14ac:dyDescent="0.15"/>
    <row r="138" spans="1:21" ht="15.95" hidden="1" customHeight="1" x14ac:dyDescent="0.15"/>
  </sheetData>
  <sheetProtection algorithmName="SHA-512" hashValue="V6Kp1gz6JIStIv8a1hZpDORPP/OJZTC2oj9dAy04INKpIIfPkrHJ2a4jCcxoFLbVD1XU/hidgr0PJu5GiquaRg==" saltValue="0ANI11AJxlGUayvSN5PG7Q==" spinCount="100000" sheet="1" objects="1" scenarios="1" selectLockedCells="1"/>
  <protectedRanges>
    <protectedRange sqref="D7:D10" name="범위1_2"/>
    <protectedRange sqref="D37:D40" name="범위1_3"/>
  </protectedRanges>
  <mergeCells count="5">
    <mergeCell ref="B22:E33"/>
    <mergeCell ref="M6:N6"/>
    <mergeCell ref="N12:N13"/>
    <mergeCell ref="O12:O13"/>
    <mergeCell ref="B46:K46"/>
  </mergeCells>
  <phoneticPr fontId="1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00B0F0"/>
  </sheetPr>
  <dimension ref="A1:U135"/>
  <sheetViews>
    <sheetView view="pageBreakPreview" zoomScale="75" zoomScaleNormal="100" zoomScaleSheetLayoutView="75" workbookViewId="0"/>
  </sheetViews>
  <sheetFormatPr defaultRowHeight="15.95" customHeight="1" x14ac:dyDescent="0.15"/>
  <cols>
    <col min="1" max="1" width="2.77734375" style="8" customWidth="1"/>
    <col min="2" max="2" width="7.33203125" style="8" customWidth="1"/>
    <col min="3" max="3" width="5.33203125" style="8" customWidth="1"/>
    <col min="4" max="4" width="9.33203125" style="8" customWidth="1"/>
    <col min="5" max="5" width="5.33203125" style="8" customWidth="1"/>
    <col min="6" max="6" width="9.33203125" style="8" customWidth="1"/>
    <col min="7" max="8" width="7.33203125" style="8" customWidth="1"/>
    <col min="9" max="9" width="5.33203125" style="8" customWidth="1"/>
    <col min="10" max="10" width="9.33203125" style="8" customWidth="1"/>
    <col min="11" max="11" width="7.33203125" style="8" customWidth="1"/>
    <col min="12" max="12" width="2.77734375" style="8" customWidth="1"/>
    <col min="13" max="13" width="6.77734375" style="8" customWidth="1"/>
    <col min="14" max="14" width="9.88671875" style="8" customWidth="1"/>
    <col min="15" max="15" width="8.77734375" style="8" customWidth="1"/>
    <col min="16" max="16" width="9.77734375" style="8" customWidth="1"/>
    <col min="17" max="17" width="6.77734375" style="8" customWidth="1"/>
    <col min="18" max="18" width="8.77734375" style="8" customWidth="1"/>
    <col min="19" max="20" width="6.77734375" style="8" customWidth="1"/>
    <col min="21" max="21" width="9.77734375" style="8" customWidth="1"/>
    <col min="22" max="16384" width="8.88671875" style="8"/>
  </cols>
  <sheetData>
    <row r="1" spans="1:17" ht="15.95" customHeight="1" x14ac:dyDescent="0.15">
      <c r="A1" s="60" t="s">
        <v>611</v>
      </c>
      <c r="M1" s="700">
        <v>1</v>
      </c>
    </row>
    <row r="2" spans="1:17" ht="15.95" customHeight="1" x14ac:dyDescent="0.15">
      <c r="M2" s="161">
        <v>1</v>
      </c>
      <c r="N2" s="428">
        <v>210000</v>
      </c>
      <c r="O2" s="429" t="s">
        <v>1079</v>
      </c>
      <c r="P2" s="415"/>
    </row>
    <row r="3" spans="1:17" ht="15.95" customHeight="1" x14ac:dyDescent="0.15">
      <c r="B3" s="61" t="s">
        <v>102</v>
      </c>
      <c r="M3" s="161">
        <v>2</v>
      </c>
      <c r="N3" s="428">
        <v>193000</v>
      </c>
      <c r="O3" s="429" t="s">
        <v>1080</v>
      </c>
      <c r="P3" s="415"/>
    </row>
    <row r="5" spans="1:17" ht="15.95" customHeight="1" x14ac:dyDescent="0.15">
      <c r="B5" s="62" t="s">
        <v>103</v>
      </c>
      <c r="C5" s="4" t="s">
        <v>4</v>
      </c>
      <c r="D5" s="157">
        <f>(SUMPRODUCT((N8:N10=N7)*(O7:P7=M7),O8:P10))</f>
        <v>0</v>
      </c>
      <c r="E5" s="27" t="s">
        <v>560</v>
      </c>
      <c r="H5" s="20" t="s">
        <v>113</v>
      </c>
      <c r="J5" s="33"/>
      <c r="M5" s="22"/>
      <c r="P5" s="2"/>
      <c r="Q5" s="2"/>
    </row>
    <row r="6" spans="1:17" ht="15.95" customHeight="1" x14ac:dyDescent="0.15">
      <c r="B6" s="62" t="s">
        <v>111</v>
      </c>
      <c r="C6" s="4" t="s">
        <v>4</v>
      </c>
      <c r="D6" s="142">
        <f>IF(M1=M2,N2,N3)</f>
        <v>210000</v>
      </c>
      <c r="E6" s="27" t="s">
        <v>561</v>
      </c>
      <c r="H6" s="20" t="str">
        <f>IF(M1=M2,O2,O3)</f>
        <v>( Modulus of Elasticity , SS 275 )</v>
      </c>
      <c r="I6" s="27"/>
      <c r="J6" s="27"/>
      <c r="M6" s="782" t="s">
        <v>651</v>
      </c>
      <c r="N6" s="782"/>
      <c r="O6" s="163"/>
      <c r="P6" s="164"/>
      <c r="Q6" s="10"/>
    </row>
    <row r="7" spans="1:17" ht="15.95" customHeight="1" x14ac:dyDescent="0.15">
      <c r="B7" s="62" t="s">
        <v>104</v>
      </c>
      <c r="C7" s="4" t="s">
        <v>4</v>
      </c>
      <c r="D7" s="683">
        <v>1200</v>
      </c>
      <c r="E7" s="27" t="s">
        <v>562</v>
      </c>
      <c r="H7" s="20" t="s">
        <v>114</v>
      </c>
      <c r="M7" s="685" t="s">
        <v>649</v>
      </c>
      <c r="N7" s="686">
        <v>1</v>
      </c>
      <c r="O7" s="160" t="s">
        <v>649</v>
      </c>
      <c r="P7" s="160" t="s">
        <v>650</v>
      </c>
    </row>
    <row r="8" spans="1:17" ht="15.95" customHeight="1" x14ac:dyDescent="0.15">
      <c r="B8" s="62" t="s">
        <v>105</v>
      </c>
      <c r="C8" s="4" t="s">
        <v>4</v>
      </c>
      <c r="D8" s="683">
        <v>1500</v>
      </c>
      <c r="E8" s="27" t="s">
        <v>562</v>
      </c>
      <c r="H8" s="20" t="s">
        <v>115</v>
      </c>
      <c r="M8" s="165" t="s">
        <v>557</v>
      </c>
      <c r="N8" s="161">
        <v>1</v>
      </c>
      <c r="O8" s="162" t="str">
        <f>'WIND LOAD'!T7</f>
        <v>-</v>
      </c>
      <c r="P8" s="162">
        <f>'WIND LOAD'!U7</f>
        <v>0.96</v>
      </c>
    </row>
    <row r="9" spans="1:17" ht="15.95" customHeight="1" x14ac:dyDescent="0.15">
      <c r="B9" s="20" t="s">
        <v>595</v>
      </c>
      <c r="C9" s="4" t="s">
        <v>4</v>
      </c>
      <c r="D9" s="683">
        <v>1000</v>
      </c>
      <c r="E9" s="27" t="s">
        <v>562</v>
      </c>
      <c r="H9" s="20" t="s">
        <v>448</v>
      </c>
      <c r="J9" s="27"/>
      <c r="M9" s="165" t="s">
        <v>558</v>
      </c>
      <c r="N9" s="161">
        <v>2</v>
      </c>
      <c r="O9" s="162" t="str">
        <f>'WIND LOAD'!T8</f>
        <v>-</v>
      </c>
      <c r="P9" s="162">
        <f>'WIND LOAD'!U8</f>
        <v>-0.82599999999999996</v>
      </c>
    </row>
    <row r="10" spans="1:17" ht="15.95" customHeight="1" x14ac:dyDescent="0.15">
      <c r="B10" s="20" t="s">
        <v>594</v>
      </c>
      <c r="C10" s="4" t="s">
        <v>4</v>
      </c>
      <c r="D10" s="683">
        <v>4000</v>
      </c>
      <c r="E10" s="27" t="s">
        <v>562</v>
      </c>
      <c r="H10" s="20" t="s">
        <v>449</v>
      </c>
      <c r="J10" s="27"/>
      <c r="M10" s="165" t="s">
        <v>559</v>
      </c>
      <c r="N10" s="161">
        <v>3</v>
      </c>
      <c r="O10" s="162" t="str">
        <f>'WIND LOAD'!T9</f>
        <v>-</v>
      </c>
      <c r="P10" s="162">
        <f>'WIND LOAD'!U9</f>
        <v>-0.98899999999999999</v>
      </c>
    </row>
    <row r="11" spans="1:17" ht="15.95" customHeight="1" x14ac:dyDescent="0.15">
      <c r="B11" s="20" t="s">
        <v>596</v>
      </c>
      <c r="C11" s="4" t="s">
        <v>4</v>
      </c>
      <c r="D11" s="683">
        <v>2600</v>
      </c>
      <c r="E11" s="27" t="s">
        <v>562</v>
      </c>
      <c r="H11" s="20" t="s">
        <v>116</v>
      </c>
    </row>
    <row r="12" spans="1:17" ht="15.95" customHeight="1" x14ac:dyDescent="0.15">
      <c r="M12" s="140"/>
      <c r="N12" s="786"/>
      <c r="O12" s="786"/>
    </row>
    <row r="13" spans="1:17" ht="15.95" customHeight="1" x14ac:dyDescent="0.15">
      <c r="M13" s="140"/>
      <c r="N13" s="786"/>
      <c r="O13" s="786"/>
    </row>
    <row r="14" spans="1:17" ht="15.95" customHeight="1" x14ac:dyDescent="0.15">
      <c r="B14" s="20" t="s">
        <v>109</v>
      </c>
      <c r="C14" s="4" t="s">
        <v>4</v>
      </c>
      <c r="D14" s="147">
        <f>D89</f>
        <v>0</v>
      </c>
      <c r="E14" s="27" t="s">
        <v>618</v>
      </c>
      <c r="F14" s="20"/>
      <c r="H14" s="137" t="s">
        <v>110</v>
      </c>
      <c r="I14" s="4" t="s">
        <v>4</v>
      </c>
      <c r="J14" s="92">
        <f>D114</f>
        <v>0</v>
      </c>
      <c r="K14" s="67" t="str">
        <f>IF(J14&lt;1,"O.K","N.G")</f>
        <v>O.K</v>
      </c>
      <c r="N14" s="13"/>
    </row>
    <row r="16" spans="1:17" ht="15.95" customHeight="1" x14ac:dyDescent="0.15">
      <c r="B16" s="20" t="s">
        <v>165</v>
      </c>
      <c r="C16" s="4" t="s">
        <v>4</v>
      </c>
      <c r="D16" s="63">
        <f>D91</f>
        <v>0</v>
      </c>
      <c r="E16" s="27" t="s">
        <v>562</v>
      </c>
      <c r="F16" s="20"/>
    </row>
    <row r="17" spans="2:12" ht="15.95" customHeight="1" x14ac:dyDescent="0.15">
      <c r="B17" s="20" t="s">
        <v>588</v>
      </c>
      <c r="C17" s="4" t="s">
        <v>4</v>
      </c>
      <c r="D17" s="63">
        <f>D128</f>
        <v>22.857142857142858</v>
      </c>
      <c r="E17" s="27" t="s">
        <v>562</v>
      </c>
      <c r="H17" s="64" t="s">
        <v>112</v>
      </c>
      <c r="I17" s="4" t="s">
        <v>4</v>
      </c>
      <c r="J17" s="92">
        <f>D133</f>
        <v>0</v>
      </c>
      <c r="K17" s="67" t="str">
        <f>IF(J17&lt;1,"O.K","N.G")</f>
        <v>O.K</v>
      </c>
    </row>
    <row r="19" spans="2:12" ht="15.95" customHeight="1" x14ac:dyDescent="0.15">
      <c r="B19" s="62"/>
      <c r="C19" s="66"/>
      <c r="D19" s="4"/>
    </row>
    <row r="20" spans="2:12" ht="15.95" customHeight="1" x14ac:dyDescent="0.15">
      <c r="B20" s="61" t="s">
        <v>122</v>
      </c>
      <c r="E20" s="33"/>
    </row>
    <row r="21" spans="2:12" ht="15.95" customHeight="1" thickBot="1" x14ac:dyDescent="0.2">
      <c r="K21" s="65"/>
      <c r="L21" s="65"/>
    </row>
    <row r="22" spans="2:12" ht="15.95" customHeight="1" x14ac:dyDescent="0.15">
      <c r="B22" s="827"/>
      <c r="C22" s="784"/>
      <c r="D22" s="784"/>
      <c r="E22" s="785"/>
      <c r="F22" s="31"/>
      <c r="G22" s="121"/>
      <c r="H22" s="122"/>
      <c r="I22" s="122"/>
      <c r="J22" s="122"/>
      <c r="K22" s="123"/>
    </row>
    <row r="23" spans="2:12" ht="15.95" customHeight="1" x14ac:dyDescent="0.15">
      <c r="B23" s="828"/>
      <c r="C23" s="786"/>
      <c r="D23" s="786"/>
      <c r="E23" s="787"/>
      <c r="F23" s="31"/>
      <c r="G23" s="75"/>
      <c r="K23" s="94"/>
    </row>
    <row r="24" spans="2:12" ht="15.95" customHeight="1" x14ac:dyDescent="0.15">
      <c r="B24" s="828"/>
      <c r="C24" s="786"/>
      <c r="D24" s="786"/>
      <c r="E24" s="787"/>
      <c r="F24" s="31"/>
      <c r="G24" s="75"/>
      <c r="K24" s="94"/>
    </row>
    <row r="25" spans="2:12" ht="15.95" customHeight="1" x14ac:dyDescent="0.15">
      <c r="B25" s="828"/>
      <c r="C25" s="786"/>
      <c r="D25" s="786"/>
      <c r="E25" s="787"/>
      <c r="F25" s="31"/>
      <c r="G25" s="75"/>
      <c r="K25" s="94"/>
    </row>
    <row r="26" spans="2:12" ht="15.95" customHeight="1" x14ac:dyDescent="0.15">
      <c r="B26" s="828"/>
      <c r="C26" s="786"/>
      <c r="D26" s="786"/>
      <c r="E26" s="787"/>
      <c r="F26" s="31"/>
      <c r="G26" s="75"/>
      <c r="K26" s="94"/>
    </row>
    <row r="27" spans="2:12" ht="15.95" customHeight="1" x14ac:dyDescent="0.15">
      <c r="B27" s="828"/>
      <c r="C27" s="786"/>
      <c r="D27" s="786"/>
      <c r="E27" s="787"/>
      <c r="F27" s="31"/>
      <c r="G27" s="75"/>
      <c r="K27" s="94"/>
    </row>
    <row r="28" spans="2:12" ht="15.95" customHeight="1" x14ac:dyDescent="0.15">
      <c r="B28" s="828"/>
      <c r="C28" s="786"/>
      <c r="D28" s="786"/>
      <c r="E28" s="787"/>
      <c r="F28" s="31"/>
      <c r="G28" s="75"/>
      <c r="K28" s="94"/>
    </row>
    <row r="29" spans="2:12" ht="15.95" customHeight="1" x14ac:dyDescent="0.15">
      <c r="B29" s="828"/>
      <c r="C29" s="786"/>
      <c r="D29" s="786"/>
      <c r="E29" s="787"/>
      <c r="F29" s="31"/>
      <c r="G29" s="75"/>
      <c r="K29" s="94"/>
    </row>
    <row r="30" spans="2:12" ht="15.95" customHeight="1" x14ac:dyDescent="0.15">
      <c r="B30" s="828"/>
      <c r="C30" s="786"/>
      <c r="D30" s="786"/>
      <c r="E30" s="787"/>
      <c r="F30" s="31"/>
      <c r="G30" s="75"/>
      <c r="K30" s="94"/>
    </row>
    <row r="31" spans="2:12" ht="15.95" customHeight="1" x14ac:dyDescent="0.15">
      <c r="B31" s="828"/>
      <c r="C31" s="786"/>
      <c r="D31" s="786"/>
      <c r="E31" s="787"/>
      <c r="F31" s="31"/>
      <c r="G31" s="75"/>
      <c r="K31" s="94"/>
    </row>
    <row r="32" spans="2:12" ht="15.95" customHeight="1" x14ac:dyDescent="0.15">
      <c r="B32" s="828"/>
      <c r="C32" s="786"/>
      <c r="D32" s="786"/>
      <c r="E32" s="787"/>
      <c r="F32" s="31"/>
      <c r="G32" s="75"/>
      <c r="K32" s="94"/>
    </row>
    <row r="33" spans="2:21" ht="15.95" customHeight="1" x14ac:dyDescent="0.15">
      <c r="B33" s="828"/>
      <c r="C33" s="786"/>
      <c r="D33" s="786"/>
      <c r="E33" s="787"/>
      <c r="F33" s="31"/>
      <c r="G33" s="75"/>
      <c r="K33" s="94"/>
    </row>
    <row r="34" spans="2:21" ht="15.95" customHeight="1" x14ac:dyDescent="0.15">
      <c r="B34" s="75"/>
      <c r="E34" s="94"/>
      <c r="F34" s="31"/>
      <c r="G34" s="75"/>
      <c r="K34" s="94"/>
    </row>
    <row r="35" spans="2:21" ht="15.95" customHeight="1" x14ac:dyDescent="0.15">
      <c r="B35" s="95" t="str">
        <f>CONCATENATE("  * B - ",D37," × ",D38," × ",D39," × ",D40)</f>
        <v xml:space="preserve">  * B - 100 × 50 × 2 × 2</v>
      </c>
      <c r="E35" s="94"/>
      <c r="F35" s="31"/>
      <c r="G35" s="75"/>
      <c r="K35" s="94"/>
    </row>
    <row r="36" spans="2:21" ht="15.95" customHeight="1" x14ac:dyDescent="0.15">
      <c r="B36" s="75"/>
      <c r="E36" s="94"/>
      <c r="F36" s="31"/>
      <c r="G36" s="75"/>
      <c r="K36" s="94"/>
    </row>
    <row r="37" spans="2:21" ht="15.95" customHeight="1" x14ac:dyDescent="0.15">
      <c r="B37" s="55" t="s">
        <v>117</v>
      </c>
      <c r="C37" s="4" t="s">
        <v>4</v>
      </c>
      <c r="D37" s="688">
        <v>100</v>
      </c>
      <c r="E37" s="70" t="s">
        <v>600</v>
      </c>
      <c r="F37" s="31"/>
      <c r="G37" s="75"/>
      <c r="K37" s="94"/>
    </row>
    <row r="38" spans="2:21" ht="15.95" customHeight="1" x14ac:dyDescent="0.15">
      <c r="B38" s="55" t="s">
        <v>57</v>
      </c>
      <c r="C38" s="4" t="s">
        <v>4</v>
      </c>
      <c r="D38" s="688">
        <v>50</v>
      </c>
      <c r="E38" s="70" t="s">
        <v>600</v>
      </c>
      <c r="F38" s="31"/>
      <c r="G38" s="75"/>
      <c r="K38" s="94"/>
    </row>
    <row r="39" spans="2:21" ht="15.95" customHeight="1" x14ac:dyDescent="0.15">
      <c r="B39" s="55" t="s">
        <v>118</v>
      </c>
      <c r="C39" s="4" t="s">
        <v>4</v>
      </c>
      <c r="D39" s="688">
        <v>2</v>
      </c>
      <c r="E39" s="70" t="s">
        <v>600</v>
      </c>
      <c r="F39" s="31"/>
      <c r="G39" s="75"/>
      <c r="K39" s="94"/>
      <c r="L39" s="65"/>
    </row>
    <row r="40" spans="2:21" ht="15.95" customHeight="1" x14ac:dyDescent="0.15">
      <c r="B40" s="55" t="s">
        <v>119</v>
      </c>
      <c r="C40" s="4" t="s">
        <v>4</v>
      </c>
      <c r="D40" s="688">
        <v>2</v>
      </c>
      <c r="E40" s="70" t="s">
        <v>600</v>
      </c>
      <c r="F40" s="31"/>
      <c r="G40" s="75"/>
      <c r="K40" s="94"/>
      <c r="L40" s="65"/>
      <c r="M40" s="65"/>
      <c r="N40" s="96" t="s">
        <v>127</v>
      </c>
      <c r="O40" s="15" t="s">
        <v>4</v>
      </c>
      <c r="P40" s="97">
        <f>D37*D38-D41*D42</f>
        <v>584</v>
      </c>
      <c r="Q40" s="98" t="s">
        <v>608</v>
      </c>
      <c r="U40" s="28"/>
    </row>
    <row r="41" spans="2:21" ht="15.95" customHeight="1" x14ac:dyDescent="0.15">
      <c r="B41" s="55" t="s">
        <v>120</v>
      </c>
      <c r="C41" s="4" t="s">
        <v>4</v>
      </c>
      <c r="D41" s="7">
        <f>D37-2*D40</f>
        <v>96</v>
      </c>
      <c r="E41" s="70" t="s">
        <v>600</v>
      </c>
      <c r="F41" s="31"/>
      <c r="G41" s="75"/>
      <c r="K41" s="94"/>
      <c r="L41" s="65"/>
      <c r="M41" s="65"/>
      <c r="N41" s="96" t="s">
        <v>125</v>
      </c>
      <c r="O41" s="15" t="s">
        <v>4</v>
      </c>
      <c r="P41" s="99" t="s">
        <v>123</v>
      </c>
      <c r="Q41" s="98"/>
      <c r="U41" s="28"/>
    </row>
    <row r="42" spans="2:21" ht="15.95" customHeight="1" x14ac:dyDescent="0.15">
      <c r="B42" s="55" t="s">
        <v>121</v>
      </c>
      <c r="C42" s="4" t="s">
        <v>4</v>
      </c>
      <c r="D42" s="7">
        <f>D38-2*D39</f>
        <v>46</v>
      </c>
      <c r="E42" s="70" t="s">
        <v>600</v>
      </c>
      <c r="F42" s="31"/>
      <c r="G42" s="75"/>
      <c r="K42" s="94"/>
      <c r="L42" s="65"/>
      <c r="M42" s="65"/>
      <c r="N42" s="100"/>
      <c r="O42" s="15" t="s">
        <v>4</v>
      </c>
      <c r="P42" s="101">
        <f>D41/D39</f>
        <v>48</v>
      </c>
      <c r="Q42" s="98"/>
      <c r="U42" s="28"/>
    </row>
    <row r="43" spans="2:21" ht="15.95" customHeight="1" x14ac:dyDescent="0.15">
      <c r="B43" s="55" t="s">
        <v>6</v>
      </c>
      <c r="C43" s="4" t="s">
        <v>4</v>
      </c>
      <c r="D43" s="151">
        <f>(D38*D37^3-D42*D41^3)/12</f>
        <v>775178.66666666663</v>
      </c>
      <c r="E43" s="70" t="s">
        <v>604</v>
      </c>
      <c r="F43" s="31"/>
      <c r="G43" s="75"/>
      <c r="K43" s="94"/>
      <c r="L43" s="65"/>
      <c r="M43" s="65"/>
      <c r="N43" s="96" t="s">
        <v>126</v>
      </c>
      <c r="O43" s="15" t="s">
        <v>4</v>
      </c>
      <c r="P43" s="99" t="s">
        <v>124</v>
      </c>
      <c r="Q43" s="98"/>
      <c r="U43" s="28"/>
    </row>
    <row r="44" spans="2:21" ht="15.95" customHeight="1" thickBot="1" x14ac:dyDescent="0.2">
      <c r="B44" s="71" t="s">
        <v>46</v>
      </c>
      <c r="C44" s="17" t="s">
        <v>4</v>
      </c>
      <c r="D44" s="158">
        <f>D43/(D37/2)</f>
        <v>15503.573333333332</v>
      </c>
      <c r="E44" s="72" t="s">
        <v>605</v>
      </c>
      <c r="F44" s="31"/>
      <c r="G44" s="78"/>
      <c r="H44" s="77"/>
      <c r="I44" s="77"/>
      <c r="J44" s="77"/>
      <c r="K44" s="124"/>
      <c r="L44" s="65"/>
      <c r="M44" s="65"/>
      <c r="N44" s="100"/>
      <c r="O44" s="15" t="s">
        <v>4</v>
      </c>
      <c r="P44" s="101">
        <f>D42/D40</f>
        <v>23</v>
      </c>
      <c r="Q44" s="98"/>
      <c r="U44" s="28"/>
    </row>
    <row r="45" spans="2:21" ht="15.95" customHeight="1" x14ac:dyDescent="0.15">
      <c r="B45" s="31"/>
      <c r="C45" s="31"/>
      <c r="D45" s="31"/>
      <c r="E45" s="31"/>
      <c r="F45" s="31"/>
      <c r="L45" s="65"/>
      <c r="U45" s="28"/>
    </row>
    <row r="46" spans="2:21" ht="15.95" customHeight="1" x14ac:dyDescent="0.15">
      <c r="B46" s="796" t="s">
        <v>1217</v>
      </c>
      <c r="C46" s="796"/>
      <c r="D46" s="796"/>
      <c r="E46" s="796"/>
      <c r="F46" s="796"/>
      <c r="G46" s="796"/>
      <c r="H46" s="796"/>
      <c r="I46" s="796"/>
      <c r="J46" s="796"/>
      <c r="K46" s="796"/>
      <c r="L46" s="65"/>
    </row>
    <row r="47" spans="2:21" s="31" customFormat="1" ht="15.95" hidden="1" customHeight="1" x14ac:dyDescent="0.15">
      <c r="B47" s="61" t="s">
        <v>128</v>
      </c>
    </row>
    <row r="48" spans="2:21" s="31" customFormat="1" ht="15.95" hidden="1" customHeight="1" x14ac:dyDescent="0.15"/>
    <row r="49" spans="1:9" s="31" customFormat="1" ht="15.95" hidden="1" customHeight="1" x14ac:dyDescent="0.15">
      <c r="B49" s="30"/>
    </row>
    <row r="50" spans="1:9" s="31" customFormat="1" ht="15.95" hidden="1" customHeight="1" x14ac:dyDescent="0.15">
      <c r="A50" s="32"/>
    </row>
    <row r="51" spans="1:9" s="31" customFormat="1" ht="15.95" hidden="1" customHeight="1" x14ac:dyDescent="0.15">
      <c r="A51" s="32"/>
    </row>
    <row r="52" spans="1:9" s="31" customFormat="1" ht="15.95" hidden="1" customHeight="1" x14ac:dyDescent="0.15">
      <c r="A52" s="32"/>
    </row>
    <row r="53" spans="1:9" s="31" customFormat="1" ht="15.95" hidden="1" customHeight="1" x14ac:dyDescent="0.15">
      <c r="A53" s="32"/>
    </row>
    <row r="54" spans="1:9" s="31" customFormat="1" ht="15.95" hidden="1" customHeight="1" x14ac:dyDescent="0.15">
      <c r="A54" s="32"/>
    </row>
    <row r="55" spans="1:9" s="31" customFormat="1" ht="15.95" hidden="1" customHeight="1" x14ac:dyDescent="0.15">
      <c r="A55" s="32"/>
    </row>
    <row r="56" spans="1:9" s="31" customFormat="1" ht="15.95" hidden="1" customHeight="1" x14ac:dyDescent="0.15">
      <c r="A56" s="32"/>
    </row>
    <row r="57" spans="1:9" s="31" customFormat="1" ht="15.95" hidden="1" customHeight="1" x14ac:dyDescent="0.15">
      <c r="A57" s="32"/>
    </row>
    <row r="58" spans="1:9" s="31" customFormat="1" ht="15.95" hidden="1" customHeight="1" x14ac:dyDescent="0.15">
      <c r="A58" s="32"/>
      <c r="D58" s="20"/>
    </row>
    <row r="59" spans="1:9" s="31" customFormat="1" ht="15.95" hidden="1" customHeight="1" x14ac:dyDescent="0.15">
      <c r="B59" s="8" t="s">
        <v>135</v>
      </c>
    </row>
    <row r="60" spans="1:9" s="31" customFormat="1" ht="15.95" hidden="1" customHeight="1" x14ac:dyDescent="0.15"/>
    <row r="61" spans="1:9" s="31" customFormat="1" ht="15.95" hidden="1" customHeight="1" x14ac:dyDescent="0.15">
      <c r="B61" s="20" t="s">
        <v>7</v>
      </c>
      <c r="C61" s="4" t="s">
        <v>4</v>
      </c>
      <c r="D61" s="20" t="s">
        <v>419</v>
      </c>
    </row>
    <row r="62" spans="1:9" s="31" customFormat="1" ht="15.95" hidden="1" customHeight="1" x14ac:dyDescent="0.15">
      <c r="B62" s="82" t="s">
        <v>8</v>
      </c>
      <c r="C62" s="4" t="s">
        <v>4</v>
      </c>
      <c r="D62" s="20" t="s">
        <v>420</v>
      </c>
      <c r="G62" s="4"/>
      <c r="H62" s="20"/>
    </row>
    <row r="63" spans="1:9" s="31" customFormat="1" ht="15.95" hidden="1" customHeight="1" x14ac:dyDescent="0.15">
      <c r="B63" s="20" t="s">
        <v>129</v>
      </c>
      <c r="C63" s="4" t="s">
        <v>4</v>
      </c>
      <c r="D63" s="20" t="s">
        <v>421</v>
      </c>
      <c r="G63" s="4"/>
    </row>
    <row r="64" spans="1:9" s="31" customFormat="1" ht="15.95" hidden="1" customHeight="1" x14ac:dyDescent="0.15">
      <c r="B64" s="20" t="s">
        <v>130</v>
      </c>
      <c r="C64" s="4" t="s">
        <v>4</v>
      </c>
      <c r="D64" s="20" t="s">
        <v>422</v>
      </c>
      <c r="G64" s="4"/>
      <c r="H64" s="4"/>
      <c r="I64" s="20"/>
    </row>
    <row r="65" spans="1:13" s="31" customFormat="1" ht="15.95" hidden="1" customHeight="1" x14ac:dyDescent="0.15">
      <c r="B65" s="20" t="s">
        <v>418</v>
      </c>
      <c r="C65" s="4" t="s">
        <v>4</v>
      </c>
      <c r="D65" s="20" t="s">
        <v>428</v>
      </c>
      <c r="G65" s="4" t="s">
        <v>9</v>
      </c>
      <c r="H65" s="20" t="s">
        <v>146</v>
      </c>
    </row>
    <row r="66" spans="1:13" s="31" customFormat="1" ht="15.95" hidden="1" customHeight="1" x14ac:dyDescent="0.15">
      <c r="B66" s="20" t="s">
        <v>131</v>
      </c>
      <c r="C66" s="4" t="s">
        <v>4</v>
      </c>
      <c r="D66" s="20" t="s">
        <v>423</v>
      </c>
      <c r="F66" s="32"/>
      <c r="G66" s="4" t="s">
        <v>9</v>
      </c>
      <c r="H66" s="20" t="s">
        <v>147</v>
      </c>
    </row>
    <row r="67" spans="1:13" s="31" customFormat="1" ht="15.95" hidden="1" customHeight="1" x14ac:dyDescent="0.15">
      <c r="B67" s="62" t="s">
        <v>165</v>
      </c>
      <c r="C67" s="4" t="s">
        <v>4</v>
      </c>
      <c r="D67" s="20" t="s">
        <v>429</v>
      </c>
      <c r="F67" s="32"/>
      <c r="H67" s="20" t="s">
        <v>148</v>
      </c>
    </row>
    <row r="68" spans="1:13" s="31" customFormat="1" ht="15.95" hidden="1" customHeight="1" x14ac:dyDescent="0.15"/>
    <row r="69" spans="1:13" s="31" customFormat="1" ht="15.95" hidden="1" customHeight="1" x14ac:dyDescent="0.15">
      <c r="A69" s="32"/>
      <c r="B69" s="8" t="s">
        <v>136</v>
      </c>
    </row>
    <row r="70" spans="1:13" s="31" customFormat="1" ht="15.95" hidden="1" customHeight="1" x14ac:dyDescent="0.15">
      <c r="H70" s="20"/>
    </row>
    <row r="71" spans="1:13" s="31" customFormat="1" ht="15.95" hidden="1" customHeight="1" x14ac:dyDescent="0.15">
      <c r="B71" s="62" t="s">
        <v>424</v>
      </c>
      <c r="C71" s="21" t="s">
        <v>4</v>
      </c>
      <c r="D71" s="63">
        <f>ABS(D5/1000*(D7+D8)/2)</f>
        <v>0</v>
      </c>
      <c r="E71" s="8" t="s">
        <v>581</v>
      </c>
      <c r="F71" s="8"/>
      <c r="G71" s="4" t="s">
        <v>9</v>
      </c>
      <c r="H71" s="20" t="s">
        <v>430</v>
      </c>
    </row>
    <row r="72" spans="1:13" s="31" customFormat="1" ht="15.95" hidden="1" customHeight="1" x14ac:dyDescent="0.15">
      <c r="B72" s="62" t="s">
        <v>425</v>
      </c>
      <c r="C72" s="21" t="s">
        <v>4</v>
      </c>
      <c r="D72" s="63">
        <f>D71</f>
        <v>0</v>
      </c>
      <c r="E72" s="8" t="s">
        <v>581</v>
      </c>
      <c r="F72" s="8"/>
      <c r="G72" s="4" t="s">
        <v>9</v>
      </c>
      <c r="H72" s="20" t="s">
        <v>430</v>
      </c>
      <c r="M72" s="20"/>
    </row>
    <row r="73" spans="1:13" s="31" customFormat="1" ht="15.95" hidden="1" customHeight="1" x14ac:dyDescent="0.15">
      <c r="B73" s="82" t="s">
        <v>426</v>
      </c>
      <c r="C73" s="21" t="s">
        <v>4</v>
      </c>
      <c r="D73" s="147">
        <f>D9</f>
        <v>1000</v>
      </c>
      <c r="E73" s="27" t="s">
        <v>562</v>
      </c>
      <c r="F73" s="8"/>
      <c r="G73" s="4" t="s">
        <v>9</v>
      </c>
      <c r="H73" s="20" t="s">
        <v>450</v>
      </c>
      <c r="M73" s="20"/>
    </row>
    <row r="74" spans="1:13" s="31" customFormat="1" ht="15.95" hidden="1" customHeight="1" x14ac:dyDescent="0.15">
      <c r="B74" s="82" t="s">
        <v>427</v>
      </c>
      <c r="C74" s="21" t="s">
        <v>4</v>
      </c>
      <c r="D74" s="147">
        <f>D10</f>
        <v>4000</v>
      </c>
      <c r="E74" s="27" t="s">
        <v>562</v>
      </c>
      <c r="F74" s="8"/>
      <c r="G74" s="4" t="s">
        <v>9</v>
      </c>
      <c r="H74" s="20" t="s">
        <v>451</v>
      </c>
      <c r="J74" s="36"/>
      <c r="K74" s="21"/>
      <c r="L74" s="59"/>
      <c r="M74" s="32"/>
    </row>
    <row r="75" spans="1:13" s="31" customFormat="1" ht="15.95" hidden="1" customHeight="1" x14ac:dyDescent="0.15">
      <c r="B75" s="20" t="s">
        <v>7</v>
      </c>
      <c r="C75" s="21" t="s">
        <v>4</v>
      </c>
      <c r="D75" s="147">
        <f>D71*D9+D72*D10</f>
        <v>0</v>
      </c>
      <c r="E75" s="8" t="s">
        <v>599</v>
      </c>
      <c r="F75" s="8"/>
      <c r="G75" s="4"/>
      <c r="H75" s="20"/>
    </row>
    <row r="76" spans="1:13" s="31" customFormat="1" ht="15.95" hidden="1" customHeight="1" x14ac:dyDescent="0.15">
      <c r="B76" s="20" t="s">
        <v>8</v>
      </c>
      <c r="C76" s="21" t="s">
        <v>4</v>
      </c>
      <c r="D76" s="18">
        <f>(D78*D73)/(D78*D74)</f>
        <v>0.25</v>
      </c>
      <c r="E76" s="8"/>
      <c r="F76" s="8"/>
      <c r="G76" s="4"/>
    </row>
    <row r="77" spans="1:13" s="31" customFormat="1" ht="15.95" hidden="1" customHeight="1" x14ac:dyDescent="0.15">
      <c r="B77" s="62" t="s">
        <v>5</v>
      </c>
      <c r="C77" s="21" t="s">
        <v>4</v>
      </c>
      <c r="D77" s="147">
        <f>D6</f>
        <v>210000</v>
      </c>
      <c r="E77" s="27" t="s">
        <v>561</v>
      </c>
      <c r="G77" s="4" t="s">
        <v>9</v>
      </c>
      <c r="H77" s="20" t="s">
        <v>140</v>
      </c>
    </row>
    <row r="78" spans="1:13" s="31" customFormat="1" ht="15.95" hidden="1" customHeight="1" x14ac:dyDescent="0.15">
      <c r="B78" s="62" t="s">
        <v>597</v>
      </c>
      <c r="C78" s="21" t="s">
        <v>4</v>
      </c>
      <c r="D78" s="147">
        <f>D43</f>
        <v>775178.66666666663</v>
      </c>
      <c r="E78" s="8" t="s">
        <v>598</v>
      </c>
      <c r="G78" s="4" t="s">
        <v>9</v>
      </c>
      <c r="H78" s="20" t="s">
        <v>141</v>
      </c>
    </row>
    <row r="79" spans="1:13" s="31" customFormat="1" ht="15.95" hidden="1" customHeight="1" x14ac:dyDescent="0.15">
      <c r="F79" s="31" t="s">
        <v>0</v>
      </c>
    </row>
    <row r="80" spans="1:13" s="31" customFormat="1" ht="15.95" hidden="1" customHeight="1" x14ac:dyDescent="0.15">
      <c r="A80" s="107"/>
      <c r="B80" s="8" t="s">
        <v>149</v>
      </c>
    </row>
    <row r="81" spans="1:21" s="31" customFormat="1" ht="15.95" hidden="1" customHeight="1" x14ac:dyDescent="0.15"/>
    <row r="82" spans="1:21" s="31" customFormat="1" ht="15.95" hidden="1" customHeight="1" x14ac:dyDescent="0.15">
      <c r="A82" s="31" t="s">
        <v>1</v>
      </c>
      <c r="B82" s="20" t="s">
        <v>129</v>
      </c>
      <c r="C82" s="21" t="s">
        <v>4</v>
      </c>
      <c r="D82" s="20" t="s">
        <v>421</v>
      </c>
      <c r="H82" s="30"/>
    </row>
    <row r="83" spans="1:21" s="31" customFormat="1" ht="15.95" hidden="1" customHeight="1" x14ac:dyDescent="0.15">
      <c r="B83" s="32"/>
      <c r="C83" s="21" t="s">
        <v>4</v>
      </c>
      <c r="D83" s="147">
        <f>(D71*D73)/2-(D76*D71*D73^2+D72*D74^2)/(8*(1+D76)*D73)</f>
        <v>0</v>
      </c>
      <c r="E83" s="8" t="s">
        <v>599</v>
      </c>
    </row>
    <row r="84" spans="1:21" s="31" customFormat="1" ht="15.95" hidden="1" customHeight="1" x14ac:dyDescent="0.15">
      <c r="B84" s="20" t="s">
        <v>130</v>
      </c>
      <c r="C84" s="21" t="s">
        <v>4</v>
      </c>
      <c r="D84" s="20" t="s">
        <v>422</v>
      </c>
      <c r="H84" s="30"/>
    </row>
    <row r="85" spans="1:21" s="31" customFormat="1" ht="15.95" hidden="1" customHeight="1" x14ac:dyDescent="0.15">
      <c r="B85" s="32"/>
      <c r="C85" s="21" t="s">
        <v>4</v>
      </c>
      <c r="D85" s="147">
        <f>(D72*D74)/2-(D76*D71*D73^2+D72*D74^2)/(8*(1+D76)*D74)</f>
        <v>0</v>
      </c>
      <c r="E85" s="8" t="s">
        <v>599</v>
      </c>
    </row>
    <row r="86" spans="1:21" s="31" customFormat="1" ht="15.95" hidden="1" customHeight="1" x14ac:dyDescent="0.15">
      <c r="B86" s="20" t="s">
        <v>418</v>
      </c>
      <c r="C86" s="21" t="s">
        <v>4</v>
      </c>
      <c r="D86" s="20" t="s">
        <v>428</v>
      </c>
      <c r="H86" s="30"/>
    </row>
    <row r="87" spans="1:21" s="31" customFormat="1" ht="15.95" hidden="1" customHeight="1" x14ac:dyDescent="0.15">
      <c r="B87" s="32"/>
      <c r="C87" s="21" t="s">
        <v>4</v>
      </c>
      <c r="D87" s="147">
        <f>D75-D83-D85</f>
        <v>0</v>
      </c>
      <c r="E87" s="8" t="s">
        <v>599</v>
      </c>
      <c r="J87" s="27"/>
    </row>
    <row r="88" spans="1:21" s="31" customFormat="1" ht="15.95" hidden="1" customHeight="1" x14ac:dyDescent="0.15">
      <c r="B88" s="20" t="s">
        <v>131</v>
      </c>
      <c r="C88" s="21" t="s">
        <v>4</v>
      </c>
      <c r="D88" s="20" t="s">
        <v>423</v>
      </c>
      <c r="H88" s="30"/>
      <c r="J88" s="8"/>
      <c r="M88" s="2"/>
      <c r="N88" s="147"/>
      <c r="O88" s="27"/>
    </row>
    <row r="89" spans="1:21" s="31" customFormat="1" ht="15.95" hidden="1" customHeight="1" x14ac:dyDescent="0.15">
      <c r="C89" s="21" t="s">
        <v>4</v>
      </c>
      <c r="D89" s="147">
        <f>(D76*D71*D73^2+D72*D74^2)/(8*(1+D76))</f>
        <v>0</v>
      </c>
      <c r="E89" s="27" t="s">
        <v>601</v>
      </c>
      <c r="J89" s="8"/>
      <c r="M89" s="2"/>
      <c r="N89" s="414"/>
      <c r="O89" s="2"/>
    </row>
    <row r="90" spans="1:21" s="31" customFormat="1" ht="15.95" hidden="1" customHeight="1" x14ac:dyDescent="0.15">
      <c r="B90" s="62" t="s">
        <v>165</v>
      </c>
      <c r="C90" s="21" t="s">
        <v>4</v>
      </c>
      <c r="D90" s="20" t="s">
        <v>431</v>
      </c>
      <c r="H90" s="30"/>
      <c r="J90" s="27"/>
      <c r="M90" s="2"/>
      <c r="N90" s="412"/>
      <c r="O90" s="27"/>
    </row>
    <row r="91" spans="1:21" s="31" customFormat="1" ht="15.95" hidden="1" customHeight="1" x14ac:dyDescent="0.15">
      <c r="B91" s="108"/>
      <c r="C91" s="21" t="s">
        <v>4</v>
      </c>
      <c r="D91" s="63">
        <f>(5*D72*D74^4/(384*D77*D78))-(D89*D74^2/(16*D77*D78))</f>
        <v>0</v>
      </c>
      <c r="E91" s="27" t="s">
        <v>600</v>
      </c>
      <c r="M91" s="2"/>
      <c r="N91" s="414"/>
      <c r="O91" s="2"/>
    </row>
    <row r="92" spans="1:21" s="31" customFormat="1" ht="15.95" hidden="1" customHeight="1" x14ac:dyDescent="0.15">
      <c r="B92" s="108"/>
      <c r="C92" s="21"/>
    </row>
    <row r="93" spans="1:21" s="31" customFormat="1" ht="15.95" hidden="1" customHeight="1" x14ac:dyDescent="0.15">
      <c r="B93" s="5" t="s">
        <v>189</v>
      </c>
    </row>
    <row r="94" spans="1:21" s="31" customFormat="1" ht="15.95" hidden="1" customHeight="1" x14ac:dyDescent="0.15">
      <c r="D94" s="36"/>
      <c r="O94" s="58"/>
      <c r="Q94" s="58"/>
      <c r="S94" s="58"/>
      <c r="U94" s="58"/>
    </row>
    <row r="95" spans="1:21" s="31" customFormat="1" ht="15.95" hidden="1" customHeight="1" x14ac:dyDescent="0.15">
      <c r="B95" s="6" t="s">
        <v>109</v>
      </c>
      <c r="C95" s="11" t="s">
        <v>4</v>
      </c>
      <c r="D95" s="142">
        <f>D14</f>
        <v>0</v>
      </c>
      <c r="E95" s="2" t="s">
        <v>602</v>
      </c>
      <c r="F95" s="2"/>
      <c r="G95" s="11" t="s">
        <v>9</v>
      </c>
      <c r="H95" s="6" t="s">
        <v>182</v>
      </c>
      <c r="I95" s="2"/>
      <c r="J95" s="2"/>
      <c r="K95" s="2"/>
      <c r="L95" s="2"/>
      <c r="M95" s="2"/>
      <c r="N95" s="2"/>
      <c r="O95" s="2"/>
    </row>
    <row r="96" spans="1:21" s="31" customFormat="1" ht="15.95" hidden="1" customHeight="1" x14ac:dyDescent="0.15">
      <c r="B96" s="19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2:15" s="31" customFormat="1" ht="15.95" hidden="1" customHeight="1" x14ac:dyDescent="0.15">
      <c r="B97" s="6" t="s">
        <v>179</v>
      </c>
      <c r="C97" s="11" t="s">
        <v>4</v>
      </c>
      <c r="D97" s="142">
        <f>D44</f>
        <v>15503.573333333332</v>
      </c>
      <c r="E97" s="2" t="s">
        <v>606</v>
      </c>
      <c r="F97" s="2"/>
      <c r="G97" s="11" t="s">
        <v>9</v>
      </c>
      <c r="H97" s="6" t="s">
        <v>183</v>
      </c>
      <c r="I97" s="2"/>
      <c r="J97" s="2"/>
      <c r="K97" s="2"/>
      <c r="L97" s="2"/>
      <c r="M97" s="2"/>
      <c r="N97" s="2"/>
      <c r="O97" s="2"/>
    </row>
    <row r="98" spans="2:15" s="31" customFormat="1" ht="15.95" hidden="1" customHeight="1" x14ac:dyDescent="0.15">
      <c r="B98" s="2"/>
      <c r="C98" s="2"/>
      <c r="D98" s="8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2:15" s="31" customFormat="1" ht="15.95" hidden="1" customHeight="1" x14ac:dyDescent="0.15">
      <c r="B99" s="2"/>
      <c r="C99" s="1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2:15" s="31" customFormat="1" ht="15.95" hidden="1" customHeight="1" x14ac:dyDescent="0.15">
      <c r="B100" s="19" t="s">
        <v>177</v>
      </c>
      <c r="C100" s="2"/>
      <c r="D100" s="1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2:15" s="31" customFormat="1" ht="15.95" hidden="1" customHeight="1" x14ac:dyDescent="0.15">
      <c r="B101" s="2"/>
      <c r="C101" s="2"/>
      <c r="D101" s="8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2:15" s="31" customFormat="1" ht="15.95" hidden="1" customHeight="1" x14ac:dyDescent="0.15">
      <c r="B102" s="16" t="s">
        <v>180</v>
      </c>
      <c r="C102" s="4" t="s">
        <v>4</v>
      </c>
      <c r="D102" s="20" t="s">
        <v>625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2:15" s="31" customFormat="1" ht="15.95" hidden="1" customHeight="1" x14ac:dyDescent="0.15">
      <c r="B103" s="2"/>
      <c r="C103" s="11" t="s">
        <v>4</v>
      </c>
      <c r="D103" s="13">
        <f>0.85*D95/D97</f>
        <v>0</v>
      </c>
      <c r="E103" s="2" t="s">
        <v>607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2:15" s="31" customFormat="1" ht="15.95" hidden="1" customHeight="1" x14ac:dyDescent="0.15">
      <c r="B104" s="2"/>
      <c r="C104" s="2"/>
      <c r="D104" s="8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2:15" s="31" customFormat="1" ht="15.95" hidden="1" customHeight="1" x14ac:dyDescent="0.15">
      <c r="B105" s="2"/>
      <c r="C105" s="2"/>
      <c r="D105" s="8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2:15" s="31" customFormat="1" ht="15.95" hidden="1" customHeight="1" x14ac:dyDescent="0.15">
      <c r="B106" s="19" t="s">
        <v>178</v>
      </c>
      <c r="C106" s="2"/>
      <c r="D106" s="2"/>
      <c r="E106" s="8" t="str">
        <f>IF(N110=1,"","( Short Term Load )")</f>
        <v/>
      </c>
      <c r="F106" s="2"/>
      <c r="G106" s="2"/>
      <c r="H106" s="2"/>
      <c r="I106" s="2"/>
      <c r="J106" s="2"/>
      <c r="K106" s="2"/>
      <c r="L106" s="2"/>
      <c r="M106" s="432">
        <f>M1</f>
        <v>1</v>
      </c>
      <c r="N106" s="2"/>
    </row>
    <row r="107" spans="2:15" s="31" customFormat="1" ht="15.95" hidden="1" customHeight="1" x14ac:dyDescent="0.15">
      <c r="B107" s="19"/>
      <c r="C107" s="2"/>
      <c r="D107" s="2"/>
      <c r="E107" s="2"/>
      <c r="F107" s="2"/>
      <c r="G107" s="11"/>
      <c r="H107" s="6"/>
      <c r="I107" s="2"/>
      <c r="J107" s="2"/>
      <c r="K107" s="2"/>
      <c r="L107" s="2"/>
      <c r="M107" s="430">
        <v>1</v>
      </c>
      <c r="N107" s="431">
        <v>275</v>
      </c>
      <c r="O107" s="429" t="s">
        <v>842</v>
      </c>
    </row>
    <row r="108" spans="2:15" s="31" customFormat="1" ht="15.95" hidden="1" customHeight="1" x14ac:dyDescent="0.15">
      <c r="B108" s="20" t="s">
        <v>185</v>
      </c>
      <c r="C108" s="4" t="s">
        <v>4</v>
      </c>
      <c r="D108" s="13">
        <f>IF(M106=M107,N107,N108)</f>
        <v>275</v>
      </c>
      <c r="E108" s="13" t="s">
        <v>561</v>
      </c>
      <c r="F108" s="8"/>
      <c r="G108" s="4" t="s">
        <v>9</v>
      </c>
      <c r="H108" s="20" t="str">
        <f>IF(M106=M107,O107,O108)</f>
        <v>SS 275  Yield Strength</v>
      </c>
      <c r="I108" s="2"/>
      <c r="J108" s="2"/>
      <c r="K108" s="2"/>
      <c r="L108" s="2"/>
      <c r="M108" s="430">
        <v>2</v>
      </c>
      <c r="N108" s="431">
        <v>205</v>
      </c>
      <c r="O108" s="429" t="s">
        <v>1081</v>
      </c>
    </row>
    <row r="109" spans="2:15" s="31" customFormat="1" ht="15.95" hidden="1" customHeight="1" thickBot="1" x14ac:dyDescent="0.2">
      <c r="B109" s="20" t="s">
        <v>365</v>
      </c>
      <c r="C109" s="4" t="s">
        <v>4</v>
      </c>
      <c r="D109" s="64" t="s">
        <v>843</v>
      </c>
      <c r="E109" s="20" t="str">
        <f>IF(N110=1,"","×  1.33")</f>
        <v/>
      </c>
      <c r="F109" s="8"/>
      <c r="G109" s="8"/>
      <c r="H109" s="8"/>
      <c r="I109" s="2"/>
      <c r="J109" s="8"/>
      <c r="K109" s="8"/>
      <c r="L109" s="8"/>
      <c r="M109" s="8"/>
      <c r="N109" s="21" t="s">
        <v>186</v>
      </c>
      <c r="O109" s="2"/>
    </row>
    <row r="110" spans="2:15" s="31" customFormat="1" ht="15.95" hidden="1" customHeight="1" thickBot="1" x14ac:dyDescent="0.2">
      <c r="B110" s="22"/>
      <c r="C110" s="4" t="s">
        <v>4</v>
      </c>
      <c r="D110" s="13">
        <f>0.66*D108</f>
        <v>181.5</v>
      </c>
      <c r="E110" s="13" t="s">
        <v>561</v>
      </c>
      <c r="F110" s="8"/>
      <c r="G110" s="8"/>
      <c r="H110" s="8"/>
      <c r="I110" s="8"/>
      <c r="J110" s="8"/>
      <c r="K110" s="8"/>
      <c r="L110" s="8"/>
      <c r="M110" s="2"/>
      <c r="N110" s="109">
        <v>1</v>
      </c>
      <c r="O110" s="2"/>
    </row>
    <row r="111" spans="2:15" s="31" customFormat="1" ht="15.95" hidden="1" customHeight="1" x14ac:dyDescent="0.15">
      <c r="B111" s="10"/>
      <c r="C111" s="4"/>
      <c r="D111" s="13"/>
      <c r="E111" s="2"/>
      <c r="F111" s="2"/>
      <c r="G111" s="8"/>
      <c r="H111" s="8"/>
      <c r="I111" s="8"/>
      <c r="J111" s="8"/>
      <c r="K111" s="8"/>
      <c r="L111" s="8"/>
      <c r="M111" s="2"/>
      <c r="N111" s="139"/>
      <c r="O111" s="2"/>
    </row>
    <row r="112" spans="2:15" ht="15.95" hidden="1" customHeight="1" x14ac:dyDescent="0.15">
      <c r="B112" s="19" t="s">
        <v>187</v>
      </c>
      <c r="N112" s="4"/>
    </row>
    <row r="113" spans="2:15" ht="15.95" hidden="1" customHeight="1" x14ac:dyDescent="0.15">
      <c r="B113" s="19"/>
      <c r="N113" s="4"/>
    </row>
    <row r="114" spans="2:15" ht="15.95" hidden="1" customHeight="1" x14ac:dyDescent="0.15">
      <c r="B114" s="20" t="s">
        <v>188</v>
      </c>
      <c r="C114" s="4" t="s">
        <v>4</v>
      </c>
      <c r="D114" s="22">
        <f>D103/D110</f>
        <v>0</v>
      </c>
      <c r="E114" s="23" t="str">
        <f>IF(D114&gt;F114,"&gt;","&lt;")</f>
        <v>&lt;</v>
      </c>
      <c r="F114" s="3">
        <v>1</v>
      </c>
      <c r="G114" s="91" t="str">
        <f>IF(D114&lt;F114,"O.K.","N.G.")</f>
        <v>O.K.</v>
      </c>
    </row>
    <row r="115" spans="2:15" s="31" customFormat="1" ht="15.95" hidden="1" customHeight="1" x14ac:dyDescent="0.15">
      <c r="B115" s="10"/>
      <c r="C115" s="4"/>
      <c r="D115" s="13"/>
      <c r="E115" s="2"/>
      <c r="F115" s="2"/>
      <c r="G115" s="8"/>
      <c r="H115" s="8"/>
      <c r="I115" s="8"/>
      <c r="J115" s="8"/>
      <c r="K115" s="8"/>
      <c r="L115" s="8"/>
      <c r="M115" s="2"/>
      <c r="N115" s="139"/>
      <c r="O115" s="2"/>
    </row>
    <row r="116" spans="2:15" s="31" customFormat="1" ht="15.95" hidden="1" customHeight="1" x14ac:dyDescent="0.15">
      <c r="B116" s="10"/>
      <c r="C116" s="4"/>
      <c r="D116" s="13"/>
      <c r="E116" s="2"/>
      <c r="F116" s="2"/>
      <c r="G116" s="8"/>
      <c r="H116" s="8"/>
      <c r="I116" s="8"/>
      <c r="J116" s="8"/>
      <c r="K116" s="8"/>
      <c r="L116" s="8"/>
      <c r="M116" s="2"/>
      <c r="N116" s="139"/>
      <c r="O116" s="2"/>
    </row>
    <row r="117" spans="2:15" ht="15.95" hidden="1" customHeight="1" x14ac:dyDescent="0.15">
      <c r="B117" s="24" t="s">
        <v>190</v>
      </c>
    </row>
    <row r="118" spans="2:15" ht="15.95" hidden="1" customHeight="1" x14ac:dyDescent="0.15"/>
    <row r="119" spans="2:15" ht="15.95" hidden="1" customHeight="1" x14ac:dyDescent="0.15">
      <c r="B119" s="19" t="s">
        <v>192</v>
      </c>
    </row>
    <row r="120" spans="2:15" ht="15.95" hidden="1" customHeight="1" x14ac:dyDescent="0.15">
      <c r="B120" s="19"/>
    </row>
    <row r="121" spans="2:15" ht="15.95" hidden="1" customHeight="1" x14ac:dyDescent="0.15">
      <c r="B121" s="62" t="s">
        <v>165</v>
      </c>
      <c r="C121" s="4" t="s">
        <v>4</v>
      </c>
      <c r="D121" s="8">
        <f>D16</f>
        <v>0</v>
      </c>
      <c r="E121" s="13" t="s">
        <v>583</v>
      </c>
    </row>
    <row r="122" spans="2:15" ht="15.95" hidden="1" customHeight="1" x14ac:dyDescent="0.15"/>
    <row r="123" spans="2:15" ht="15.95" hidden="1" customHeight="1" x14ac:dyDescent="0.15"/>
    <row r="124" spans="2:15" ht="15.95" hidden="1" customHeight="1" x14ac:dyDescent="0.15">
      <c r="B124" s="19" t="s">
        <v>191</v>
      </c>
      <c r="E124" s="26" t="s">
        <v>195</v>
      </c>
    </row>
    <row r="125" spans="2:15" ht="15.95" hidden="1" customHeight="1" x14ac:dyDescent="0.15">
      <c r="B125" s="19"/>
    </row>
    <row r="126" spans="2:15" ht="15.95" hidden="1" customHeight="1" x14ac:dyDescent="0.15">
      <c r="B126" s="62" t="s">
        <v>2</v>
      </c>
      <c r="C126" s="4" t="s">
        <v>4</v>
      </c>
      <c r="D126" s="142">
        <f>D10</f>
        <v>4000</v>
      </c>
      <c r="E126" s="8" t="str">
        <f>IF(D126&gt;4110,"mm      &gt;     4110 mm","mm     ≤     4110 mm")</f>
        <v>mm     ≤     4110 mm</v>
      </c>
      <c r="M126" s="27" t="s">
        <v>196</v>
      </c>
      <c r="N126" s="25">
        <f>D126/240+6.35</f>
        <v>23.016666666666666</v>
      </c>
    </row>
    <row r="127" spans="2:15" ht="15.95" hidden="1" customHeight="1" x14ac:dyDescent="0.15">
      <c r="B127" s="62" t="s">
        <v>193</v>
      </c>
      <c r="C127" s="4" t="s">
        <v>4</v>
      </c>
      <c r="D127" s="152">
        <f>D126</f>
        <v>4000</v>
      </c>
      <c r="E127" s="19" t="str">
        <f>IF(D126&lt;4110,"mm      /     175","mm      /      240 + 6.35 mm ")</f>
        <v>mm      /     175</v>
      </c>
      <c r="M127" s="27" t="s">
        <v>197</v>
      </c>
      <c r="N127" s="25">
        <f>D126/175</f>
        <v>22.857142857142858</v>
      </c>
    </row>
    <row r="128" spans="2:15" ht="15.95" hidden="1" customHeight="1" x14ac:dyDescent="0.15">
      <c r="B128" s="22"/>
      <c r="C128" s="4" t="s">
        <v>4</v>
      </c>
      <c r="D128" s="22">
        <f>IF(D126&gt;4110,N126,N127)</f>
        <v>22.857142857142858</v>
      </c>
      <c r="E128" s="8" t="s">
        <v>600</v>
      </c>
    </row>
    <row r="129" spans="1:21" ht="15.95" hidden="1" customHeight="1" x14ac:dyDescent="0.15"/>
    <row r="130" spans="1:21" ht="15.95" hidden="1" customHeight="1" x14ac:dyDescent="0.15"/>
    <row r="131" spans="1:21" ht="15.95" hidden="1" customHeight="1" x14ac:dyDescent="0.15">
      <c r="B131" s="19" t="s">
        <v>198</v>
      </c>
    </row>
    <row r="132" spans="1:21" s="4" customFormat="1" ht="15.95" hidden="1" customHeight="1" x14ac:dyDescent="0.15">
      <c r="A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O132" s="8"/>
      <c r="P132" s="8"/>
      <c r="Q132" s="8"/>
      <c r="R132" s="8"/>
      <c r="S132" s="8"/>
      <c r="T132" s="8"/>
      <c r="U132" s="8"/>
    </row>
    <row r="133" spans="1:21" s="4" customFormat="1" ht="15.95" hidden="1" customHeight="1" x14ac:dyDescent="0.15">
      <c r="A133" s="8"/>
      <c r="B133" s="20" t="s">
        <v>405</v>
      </c>
      <c r="C133" s="4" t="s">
        <v>4</v>
      </c>
      <c r="D133" s="22">
        <f>D121/(D128)</f>
        <v>0</v>
      </c>
      <c r="E133" s="23" t="str">
        <f>IF(D133&gt;F133,"&gt;","&lt;")</f>
        <v>&lt;</v>
      </c>
      <c r="F133" s="3">
        <v>1</v>
      </c>
      <c r="G133" s="91" t="str">
        <f>IF(D133&lt;F133,"O.K.","N.G.")</f>
        <v>O.K.</v>
      </c>
      <c r="I133" s="27"/>
      <c r="J133" s="27"/>
      <c r="K133" s="27"/>
      <c r="L133" s="27"/>
      <c r="M133" s="27"/>
      <c r="O133" s="8"/>
      <c r="P133" s="8"/>
      <c r="Q133" s="8"/>
      <c r="R133" s="8"/>
      <c r="S133" s="8"/>
      <c r="T133" s="8"/>
      <c r="U133" s="8"/>
    </row>
    <row r="134" spans="1:21" ht="15.95" hidden="1" customHeight="1" x14ac:dyDescent="0.15"/>
    <row r="135" spans="1:21" ht="15.95" hidden="1" customHeight="1" x14ac:dyDescent="0.15"/>
  </sheetData>
  <sheetProtection algorithmName="SHA-512" hashValue="O3E+l5bi5UrOlpNGSfMnxXWLmyG1LX9yeh/G5Mi5i4kzafsmaF17oyC8riySboYKO9WuaxZvF0LTabTZrHjJkQ==" saltValue="9wArjxT6Z+W6/Xhdswx3CQ==" spinCount="100000" sheet="1" objects="1" scenarios="1" selectLockedCells="1"/>
  <protectedRanges>
    <protectedRange sqref="D37:D40" name="범위1_3"/>
    <protectedRange sqref="D7:D11" name="범위1_2_1"/>
  </protectedRanges>
  <mergeCells count="5">
    <mergeCell ref="B22:E33"/>
    <mergeCell ref="M6:N6"/>
    <mergeCell ref="N12:N13"/>
    <mergeCell ref="O12:O13"/>
    <mergeCell ref="B46:K46"/>
  </mergeCells>
  <phoneticPr fontId="1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00B0F0"/>
  </sheetPr>
  <dimension ref="A1:U140"/>
  <sheetViews>
    <sheetView view="pageBreakPreview" zoomScale="75" zoomScaleNormal="100" zoomScaleSheetLayoutView="75" workbookViewId="0"/>
  </sheetViews>
  <sheetFormatPr defaultRowHeight="15.95" customHeight="1" x14ac:dyDescent="0.15"/>
  <cols>
    <col min="1" max="1" width="2.77734375" style="8" customWidth="1"/>
    <col min="2" max="2" width="7.33203125" style="8" customWidth="1"/>
    <col min="3" max="3" width="5.33203125" style="8" customWidth="1"/>
    <col min="4" max="4" width="9.33203125" style="8" customWidth="1"/>
    <col min="5" max="5" width="5.33203125" style="8" customWidth="1"/>
    <col min="6" max="6" width="9.33203125" style="8" customWidth="1"/>
    <col min="7" max="8" width="7.33203125" style="8" customWidth="1"/>
    <col min="9" max="9" width="5.33203125" style="8" customWidth="1"/>
    <col min="10" max="10" width="9.33203125" style="8" customWidth="1"/>
    <col min="11" max="11" width="7.33203125" style="8" customWidth="1"/>
    <col min="12" max="12" width="2.77734375" style="8" customWidth="1"/>
    <col min="13" max="13" width="6.77734375" style="8" customWidth="1"/>
    <col min="14" max="14" width="9.77734375" style="8" customWidth="1"/>
    <col min="15" max="15" width="8.77734375" style="8" customWidth="1"/>
    <col min="16" max="16" width="9.77734375" style="8" customWidth="1"/>
    <col min="17" max="17" width="6.77734375" style="8" customWidth="1"/>
    <col min="18" max="18" width="8.77734375" style="8" customWidth="1"/>
    <col min="19" max="20" width="6.77734375" style="8" customWidth="1"/>
    <col min="21" max="21" width="9.77734375" style="8" customWidth="1"/>
    <col min="22" max="16384" width="8.88671875" style="8"/>
  </cols>
  <sheetData>
    <row r="1" spans="1:17" ht="15.95" customHeight="1" x14ac:dyDescent="0.15">
      <c r="A1" s="60" t="s">
        <v>412</v>
      </c>
      <c r="M1" s="700">
        <v>1</v>
      </c>
    </row>
    <row r="2" spans="1:17" ht="15.95" customHeight="1" x14ac:dyDescent="0.15">
      <c r="M2" s="161">
        <v>1</v>
      </c>
      <c r="N2" s="428">
        <v>210000</v>
      </c>
      <c r="O2" s="429" t="s">
        <v>1079</v>
      </c>
      <c r="P2" s="415"/>
    </row>
    <row r="3" spans="1:17" ht="15.95" customHeight="1" x14ac:dyDescent="0.15">
      <c r="B3" s="61" t="s">
        <v>102</v>
      </c>
      <c r="M3" s="161">
        <v>2</v>
      </c>
      <c r="N3" s="428">
        <v>193000</v>
      </c>
      <c r="O3" s="429" t="s">
        <v>1080</v>
      </c>
      <c r="P3" s="415"/>
    </row>
    <row r="5" spans="1:17" ht="15.95" customHeight="1" x14ac:dyDescent="0.15">
      <c r="B5" s="62" t="s">
        <v>103</v>
      </c>
      <c r="C5" s="4" t="s">
        <v>4</v>
      </c>
      <c r="D5" s="157">
        <f>(SUMPRODUCT((N8:N10=N7)*(O7:P7=M7),O8:P10))</f>
        <v>0</v>
      </c>
      <c r="E5" s="27" t="s">
        <v>560</v>
      </c>
      <c r="H5" s="20" t="s">
        <v>113</v>
      </c>
      <c r="J5" s="33"/>
      <c r="M5" s="22"/>
      <c r="P5" s="2"/>
      <c r="Q5" s="2"/>
    </row>
    <row r="6" spans="1:17" ht="15.95" customHeight="1" x14ac:dyDescent="0.15">
      <c r="B6" s="62" t="s">
        <v>111</v>
      </c>
      <c r="C6" s="4" t="s">
        <v>4</v>
      </c>
      <c r="D6" s="142">
        <f>IF(M1=M2,N2,N3)</f>
        <v>210000</v>
      </c>
      <c r="E6" s="27" t="s">
        <v>561</v>
      </c>
      <c r="H6" s="20" t="str">
        <f>IF(M1=M2,O2,O3)</f>
        <v>( Modulus of Elasticity , SS 275 )</v>
      </c>
      <c r="I6" s="27"/>
      <c r="M6" s="782" t="s">
        <v>651</v>
      </c>
      <c r="N6" s="782"/>
      <c r="O6" s="163"/>
      <c r="P6" s="164"/>
    </row>
    <row r="7" spans="1:17" ht="15.95" customHeight="1" x14ac:dyDescent="0.15">
      <c r="B7" s="62" t="s">
        <v>104</v>
      </c>
      <c r="C7" s="4" t="s">
        <v>4</v>
      </c>
      <c r="D7" s="683">
        <v>1200</v>
      </c>
      <c r="E7" s="27" t="s">
        <v>562</v>
      </c>
      <c r="H7" s="20" t="s">
        <v>114</v>
      </c>
      <c r="M7" s="685" t="s">
        <v>649</v>
      </c>
      <c r="N7" s="686">
        <v>1</v>
      </c>
      <c r="O7" s="160" t="s">
        <v>649</v>
      </c>
      <c r="P7" s="160" t="s">
        <v>650</v>
      </c>
    </row>
    <row r="8" spans="1:17" ht="15.95" customHeight="1" x14ac:dyDescent="0.15">
      <c r="B8" s="62" t="s">
        <v>105</v>
      </c>
      <c r="C8" s="4" t="s">
        <v>4</v>
      </c>
      <c r="D8" s="683">
        <v>1500</v>
      </c>
      <c r="E8" s="27" t="s">
        <v>562</v>
      </c>
      <c r="H8" s="20" t="s">
        <v>115</v>
      </c>
      <c r="M8" s="165" t="s">
        <v>557</v>
      </c>
      <c r="N8" s="161">
        <v>1</v>
      </c>
      <c r="O8" s="162" t="str">
        <f>'WIND LOAD'!T7</f>
        <v>-</v>
      </c>
      <c r="P8" s="162">
        <f>'WIND LOAD'!U7</f>
        <v>0.96</v>
      </c>
    </row>
    <row r="9" spans="1:17" ht="15.95" customHeight="1" x14ac:dyDescent="0.15">
      <c r="B9" s="64" t="s">
        <v>440</v>
      </c>
      <c r="C9" s="4" t="s">
        <v>4</v>
      </c>
      <c r="D9" s="683">
        <v>5000</v>
      </c>
      <c r="E9" s="27" t="s">
        <v>562</v>
      </c>
      <c r="H9" s="20" t="s">
        <v>449</v>
      </c>
      <c r="J9" s="27"/>
      <c r="M9" s="165" t="s">
        <v>558</v>
      </c>
      <c r="N9" s="161">
        <v>2</v>
      </c>
      <c r="O9" s="162" t="str">
        <f>'WIND LOAD'!T8</f>
        <v>-</v>
      </c>
      <c r="P9" s="162">
        <f>'WIND LOAD'!U8</f>
        <v>-0.82599999999999996</v>
      </c>
    </row>
    <row r="10" spans="1:17" ht="15.95" customHeight="1" x14ac:dyDescent="0.15">
      <c r="B10" s="64" t="s">
        <v>441</v>
      </c>
      <c r="C10" s="4" t="s">
        <v>4</v>
      </c>
      <c r="D10" s="683">
        <v>2600</v>
      </c>
      <c r="E10" s="27" t="s">
        <v>562</v>
      </c>
      <c r="H10" s="20" t="s">
        <v>116</v>
      </c>
      <c r="M10" s="165" t="s">
        <v>559</v>
      </c>
      <c r="N10" s="161">
        <v>3</v>
      </c>
      <c r="O10" s="162" t="str">
        <f>'WIND LOAD'!T9</f>
        <v>-</v>
      </c>
      <c r="P10" s="162">
        <f>'WIND LOAD'!U9</f>
        <v>-0.98899999999999999</v>
      </c>
    </row>
    <row r="12" spans="1:17" ht="15.95" customHeight="1" x14ac:dyDescent="0.15">
      <c r="M12" s="140"/>
      <c r="N12" s="786"/>
      <c r="O12" s="786"/>
    </row>
    <row r="13" spans="1:17" ht="15.95" customHeight="1" x14ac:dyDescent="0.15">
      <c r="M13" s="140"/>
      <c r="N13" s="786"/>
      <c r="O13" s="786"/>
    </row>
    <row r="14" spans="1:17" ht="15.95" customHeight="1" x14ac:dyDescent="0.15">
      <c r="B14" s="20" t="s">
        <v>109</v>
      </c>
      <c r="C14" s="4" t="s">
        <v>4</v>
      </c>
      <c r="D14" s="147">
        <f>D84</f>
        <v>0</v>
      </c>
      <c r="E14" s="27" t="s">
        <v>618</v>
      </c>
      <c r="F14" s="20"/>
      <c r="H14" s="137" t="s">
        <v>110</v>
      </c>
      <c r="I14" s="4" t="s">
        <v>4</v>
      </c>
      <c r="J14" s="92">
        <f>D119</f>
        <v>0</v>
      </c>
      <c r="K14" s="67" t="str">
        <f>IF(J14&lt;1,"O.K","N.G")</f>
        <v>O.K</v>
      </c>
      <c r="N14" s="13"/>
    </row>
    <row r="16" spans="1:17" ht="15.95" customHeight="1" x14ac:dyDescent="0.15">
      <c r="B16" s="20" t="s">
        <v>165</v>
      </c>
      <c r="C16" s="4" t="s">
        <v>4</v>
      </c>
      <c r="D16" s="63">
        <f>D87</f>
        <v>0</v>
      </c>
      <c r="E16" s="27" t="s">
        <v>562</v>
      </c>
      <c r="F16" s="20"/>
    </row>
    <row r="17" spans="2:12" ht="15.95" customHeight="1" x14ac:dyDescent="0.15">
      <c r="B17" s="20" t="s">
        <v>588</v>
      </c>
      <c r="C17" s="4" t="s">
        <v>4</v>
      </c>
      <c r="D17" s="63">
        <f>D133</f>
        <v>27.18333333333333</v>
      </c>
      <c r="E17" s="27" t="s">
        <v>562</v>
      </c>
      <c r="H17" s="64" t="s">
        <v>112</v>
      </c>
      <c r="I17" s="4" t="s">
        <v>4</v>
      </c>
      <c r="J17" s="92">
        <f>D138</f>
        <v>0</v>
      </c>
      <c r="K17" s="67" t="str">
        <f>IF(J17&lt;1,"O.K","N.G")</f>
        <v>O.K</v>
      </c>
    </row>
    <row r="19" spans="2:12" ht="15.95" customHeight="1" x14ac:dyDescent="0.15">
      <c r="B19" s="62"/>
      <c r="C19" s="66"/>
      <c r="D19" s="4"/>
    </row>
    <row r="20" spans="2:12" ht="15.95" customHeight="1" x14ac:dyDescent="0.15">
      <c r="B20" s="61" t="s">
        <v>122</v>
      </c>
      <c r="E20" s="33"/>
    </row>
    <row r="21" spans="2:12" ht="15.95" customHeight="1" thickBot="1" x14ac:dyDescent="0.2">
      <c r="K21" s="65"/>
      <c r="L21" s="65"/>
    </row>
    <row r="22" spans="2:12" ht="15.95" customHeight="1" x14ac:dyDescent="0.15">
      <c r="B22" s="827"/>
      <c r="C22" s="784"/>
      <c r="D22" s="784"/>
      <c r="E22" s="785"/>
      <c r="F22" s="31"/>
      <c r="G22" s="121"/>
      <c r="H22" s="122"/>
      <c r="I22" s="122"/>
      <c r="J22" s="122"/>
      <c r="K22" s="123"/>
    </row>
    <row r="23" spans="2:12" ht="15.95" customHeight="1" x14ac:dyDescent="0.15">
      <c r="B23" s="828"/>
      <c r="C23" s="786"/>
      <c r="D23" s="786"/>
      <c r="E23" s="787"/>
      <c r="F23" s="31"/>
      <c r="G23" s="75"/>
      <c r="K23" s="94"/>
    </row>
    <row r="24" spans="2:12" ht="15.95" customHeight="1" x14ac:dyDescent="0.15">
      <c r="B24" s="828"/>
      <c r="C24" s="786"/>
      <c r="D24" s="786"/>
      <c r="E24" s="787"/>
      <c r="F24" s="31"/>
      <c r="G24" s="75"/>
      <c r="K24" s="94"/>
    </row>
    <row r="25" spans="2:12" ht="15.95" customHeight="1" x14ac:dyDescent="0.15">
      <c r="B25" s="828"/>
      <c r="C25" s="786"/>
      <c r="D25" s="786"/>
      <c r="E25" s="787"/>
      <c r="F25" s="31"/>
      <c r="G25" s="75"/>
      <c r="K25" s="94"/>
    </row>
    <row r="26" spans="2:12" ht="15.95" customHeight="1" x14ac:dyDescent="0.15">
      <c r="B26" s="828"/>
      <c r="C26" s="786"/>
      <c r="D26" s="786"/>
      <c r="E26" s="787"/>
      <c r="F26" s="31"/>
      <c r="G26" s="75"/>
      <c r="K26" s="94"/>
    </row>
    <row r="27" spans="2:12" ht="15.95" customHeight="1" x14ac:dyDescent="0.15">
      <c r="B27" s="828"/>
      <c r="C27" s="786"/>
      <c r="D27" s="786"/>
      <c r="E27" s="787"/>
      <c r="F27" s="31"/>
      <c r="G27" s="75"/>
      <c r="K27" s="94"/>
    </row>
    <row r="28" spans="2:12" ht="15.95" customHeight="1" x14ac:dyDescent="0.15">
      <c r="B28" s="828"/>
      <c r="C28" s="786"/>
      <c r="D28" s="786"/>
      <c r="E28" s="787"/>
      <c r="F28" s="31"/>
      <c r="G28" s="75"/>
      <c r="K28" s="94"/>
    </row>
    <row r="29" spans="2:12" ht="15.95" customHeight="1" x14ac:dyDescent="0.15">
      <c r="B29" s="828"/>
      <c r="C29" s="786"/>
      <c r="D29" s="786"/>
      <c r="E29" s="787"/>
      <c r="F29" s="31"/>
      <c r="G29" s="75"/>
      <c r="K29" s="94"/>
    </row>
    <row r="30" spans="2:12" ht="15.95" customHeight="1" x14ac:dyDescent="0.15">
      <c r="B30" s="828"/>
      <c r="C30" s="786"/>
      <c r="D30" s="786"/>
      <c r="E30" s="787"/>
      <c r="F30" s="31"/>
      <c r="G30" s="75"/>
      <c r="K30" s="94"/>
    </row>
    <row r="31" spans="2:12" ht="15.95" customHeight="1" x14ac:dyDescent="0.15">
      <c r="B31" s="828"/>
      <c r="C31" s="786"/>
      <c r="D31" s="786"/>
      <c r="E31" s="787"/>
      <c r="F31" s="31"/>
      <c r="G31" s="75"/>
      <c r="K31" s="94"/>
    </row>
    <row r="32" spans="2:12" ht="15.95" customHeight="1" x14ac:dyDescent="0.15">
      <c r="B32" s="828"/>
      <c r="C32" s="786"/>
      <c r="D32" s="786"/>
      <c r="E32" s="787"/>
      <c r="F32" s="31"/>
      <c r="G32" s="75"/>
      <c r="K32" s="94"/>
    </row>
    <row r="33" spans="1:21" ht="15.95" customHeight="1" x14ac:dyDescent="0.15">
      <c r="B33" s="95" t="str">
        <f>CONCATENATE("  * T - ",D35," × ",D36," × ",D37," / ",D38)</f>
        <v xml:space="preserve">  * T - 150 × 60 × 10 / 10</v>
      </c>
      <c r="E33" s="94"/>
      <c r="F33" s="31"/>
      <c r="G33" s="75"/>
      <c r="K33" s="94"/>
    </row>
    <row r="34" spans="1:21" ht="15.95" customHeight="1" x14ac:dyDescent="0.15">
      <c r="B34" s="75"/>
      <c r="E34" s="94"/>
      <c r="F34" s="31"/>
      <c r="G34" s="75"/>
      <c r="K34" s="94"/>
    </row>
    <row r="35" spans="1:21" ht="15.95" customHeight="1" x14ac:dyDescent="0.15">
      <c r="B35" s="55" t="s">
        <v>117</v>
      </c>
      <c r="C35" s="4" t="s">
        <v>4</v>
      </c>
      <c r="D35" s="688">
        <v>150</v>
      </c>
      <c r="E35" s="70" t="s">
        <v>600</v>
      </c>
      <c r="F35" s="31"/>
      <c r="G35" s="75"/>
      <c r="K35" s="94"/>
    </row>
    <row r="36" spans="1:21" ht="15.95" customHeight="1" x14ac:dyDescent="0.15">
      <c r="B36" s="55" t="s">
        <v>57</v>
      </c>
      <c r="C36" s="4" t="s">
        <v>4</v>
      </c>
      <c r="D36" s="688">
        <v>60</v>
      </c>
      <c r="E36" s="70" t="s">
        <v>600</v>
      </c>
      <c r="F36" s="31"/>
      <c r="G36" s="75"/>
      <c r="K36" s="94"/>
    </row>
    <row r="37" spans="1:21" ht="15.95" customHeight="1" x14ac:dyDescent="0.15">
      <c r="B37" s="55" t="s">
        <v>118</v>
      </c>
      <c r="C37" s="4" t="s">
        <v>4</v>
      </c>
      <c r="D37" s="688">
        <v>10</v>
      </c>
      <c r="E37" s="70" t="s">
        <v>600</v>
      </c>
      <c r="F37" s="31"/>
      <c r="G37" s="75"/>
      <c r="K37" s="94"/>
    </row>
    <row r="38" spans="1:21" ht="15.95" customHeight="1" x14ac:dyDescent="0.15">
      <c r="B38" s="55" t="s">
        <v>119</v>
      </c>
      <c r="C38" s="4" t="s">
        <v>4</v>
      </c>
      <c r="D38" s="688">
        <v>10</v>
      </c>
      <c r="E38" s="70" t="s">
        <v>600</v>
      </c>
      <c r="F38" s="31"/>
      <c r="G38" s="75"/>
      <c r="K38" s="94"/>
    </row>
    <row r="39" spans="1:21" ht="15.95" customHeight="1" x14ac:dyDescent="0.15">
      <c r="B39" s="55" t="s">
        <v>120</v>
      </c>
      <c r="C39" s="4" t="s">
        <v>4</v>
      </c>
      <c r="D39" s="7">
        <f>D41-D38</f>
        <v>47.5</v>
      </c>
      <c r="E39" s="70" t="s">
        <v>600</v>
      </c>
      <c r="F39" s="31"/>
      <c r="G39" s="75"/>
      <c r="K39" s="94"/>
      <c r="L39" s="65"/>
    </row>
    <row r="40" spans="1:21" ht="15.95" customHeight="1" x14ac:dyDescent="0.15">
      <c r="B40" s="55" t="s">
        <v>121</v>
      </c>
      <c r="C40" s="4" t="s">
        <v>4</v>
      </c>
      <c r="D40" s="7">
        <f>D36-D37</f>
        <v>50</v>
      </c>
      <c r="E40" s="70" t="s">
        <v>600</v>
      </c>
      <c r="F40" s="31"/>
      <c r="G40" s="75"/>
      <c r="K40" s="94"/>
      <c r="L40" s="65"/>
      <c r="M40" s="65"/>
      <c r="N40" s="96" t="s">
        <v>127</v>
      </c>
      <c r="O40" s="15" t="s">
        <v>4</v>
      </c>
      <c r="P40" s="97">
        <f>D35*D37+D40*D38</f>
        <v>2000</v>
      </c>
      <c r="Q40" s="98" t="s">
        <v>608</v>
      </c>
      <c r="U40" s="28"/>
    </row>
    <row r="41" spans="1:21" ht="15.95" customHeight="1" x14ac:dyDescent="0.15">
      <c r="B41" s="55" t="s">
        <v>410</v>
      </c>
      <c r="C41" s="4" t="s">
        <v>4</v>
      </c>
      <c r="D41" s="7">
        <f>(D37*D35^2+D40*D38^2)/(2*(D37*D35+D40*D38))</f>
        <v>57.5</v>
      </c>
      <c r="E41" s="70" t="s">
        <v>600</v>
      </c>
      <c r="F41" s="31"/>
      <c r="G41" s="75"/>
      <c r="K41" s="94"/>
      <c r="L41" s="65"/>
      <c r="M41" s="65"/>
      <c r="N41" s="96" t="s">
        <v>125</v>
      </c>
      <c r="O41" s="15" t="s">
        <v>4</v>
      </c>
      <c r="P41" s="104" t="s">
        <v>415</v>
      </c>
      <c r="Q41" s="98"/>
      <c r="U41" s="28"/>
    </row>
    <row r="42" spans="1:21" ht="15.95" customHeight="1" x14ac:dyDescent="0.15">
      <c r="B42" s="55" t="s">
        <v>411</v>
      </c>
      <c r="C42" s="4" t="s">
        <v>4</v>
      </c>
      <c r="D42" s="156">
        <f>D35-D41</f>
        <v>92.5</v>
      </c>
      <c r="E42" s="70" t="s">
        <v>600</v>
      </c>
      <c r="F42" s="31"/>
      <c r="G42" s="75"/>
      <c r="K42" s="94"/>
      <c r="L42" s="65"/>
      <c r="M42" s="65"/>
      <c r="N42" s="100"/>
      <c r="O42" s="15" t="s">
        <v>4</v>
      </c>
      <c r="P42" s="101">
        <f>(D35-D38)/D37</f>
        <v>14</v>
      </c>
      <c r="Q42" s="98"/>
      <c r="U42" s="28"/>
    </row>
    <row r="43" spans="1:21" ht="15.95" customHeight="1" x14ac:dyDescent="0.15">
      <c r="B43" s="55" t="s">
        <v>6</v>
      </c>
      <c r="C43" s="4" t="s">
        <v>4</v>
      </c>
      <c r="D43" s="151">
        <f>(D36*D41^3-D40*D39^3+D37*D42^3)/3</f>
        <v>4654166.666666667</v>
      </c>
      <c r="E43" s="70" t="s">
        <v>604</v>
      </c>
      <c r="F43" s="31"/>
      <c r="G43" s="75"/>
      <c r="K43" s="94"/>
      <c r="L43" s="65"/>
      <c r="M43" s="65"/>
      <c r="N43" s="96" t="s">
        <v>126</v>
      </c>
      <c r="O43" s="15" t="s">
        <v>4</v>
      </c>
      <c r="P43" s="104" t="s">
        <v>416</v>
      </c>
      <c r="Q43" s="98"/>
      <c r="U43" s="28"/>
    </row>
    <row r="44" spans="1:21" ht="15.95" customHeight="1" thickBot="1" x14ac:dyDescent="0.2">
      <c r="B44" s="71" t="s">
        <v>46</v>
      </c>
      <c r="C44" s="17" t="s">
        <v>4</v>
      </c>
      <c r="D44" s="158">
        <f>D43/(D42)</f>
        <v>50315.315315315318</v>
      </c>
      <c r="E44" s="72" t="s">
        <v>605</v>
      </c>
      <c r="F44" s="31"/>
      <c r="G44" s="78"/>
      <c r="H44" s="77"/>
      <c r="I44" s="77"/>
      <c r="J44" s="77"/>
      <c r="K44" s="124"/>
      <c r="L44" s="65"/>
      <c r="M44" s="65"/>
      <c r="N44" s="100"/>
      <c r="O44" s="15" t="s">
        <v>4</v>
      </c>
      <c r="P44" s="101">
        <f>(D40/2)/D38</f>
        <v>2.5</v>
      </c>
      <c r="Q44" s="98"/>
      <c r="U44" s="28"/>
    </row>
    <row r="45" spans="1:21" ht="15.95" customHeight="1" x14ac:dyDescent="0.15">
      <c r="B45" s="31"/>
      <c r="C45" s="31"/>
      <c r="D45" s="31"/>
      <c r="E45" s="31"/>
      <c r="F45" s="31"/>
      <c r="L45" s="65"/>
      <c r="U45" s="28"/>
    </row>
    <row r="46" spans="1:21" ht="15.95" customHeight="1" x14ac:dyDescent="0.15">
      <c r="B46" s="796" t="s">
        <v>1217</v>
      </c>
      <c r="C46" s="796"/>
      <c r="D46" s="796"/>
      <c r="E46" s="796"/>
      <c r="F46" s="796"/>
      <c r="G46" s="796"/>
      <c r="H46" s="796"/>
      <c r="I46" s="796"/>
      <c r="J46" s="796"/>
      <c r="K46" s="796"/>
      <c r="L46" s="65"/>
    </row>
    <row r="47" spans="1:21" s="2" customFormat="1" ht="15.95" hidden="1" customHeight="1" x14ac:dyDescent="0.15">
      <c r="A47" s="112"/>
      <c r="B47" s="112" t="s">
        <v>432</v>
      </c>
    </row>
    <row r="48" spans="1:21" s="2" customFormat="1" ht="15.95" hidden="1" customHeight="1" x14ac:dyDescent="0.15"/>
    <row r="49" spans="1:9" s="2" customFormat="1" ht="15.95" hidden="1" customHeight="1" x14ac:dyDescent="0.15">
      <c r="B49" s="113"/>
    </row>
    <row r="50" spans="1:9" s="2" customFormat="1" ht="15.95" hidden="1" customHeight="1" x14ac:dyDescent="0.15">
      <c r="A50" s="114"/>
    </row>
    <row r="51" spans="1:9" s="2" customFormat="1" ht="15.95" hidden="1" customHeight="1" x14ac:dyDescent="0.15">
      <c r="A51" s="114"/>
    </row>
    <row r="52" spans="1:9" s="2" customFormat="1" ht="15.95" hidden="1" customHeight="1" x14ac:dyDescent="0.15">
      <c r="A52" s="114"/>
    </row>
    <row r="53" spans="1:9" s="2" customFormat="1" ht="15.95" hidden="1" customHeight="1" x14ac:dyDescent="0.15">
      <c r="A53" s="114"/>
    </row>
    <row r="54" spans="1:9" s="2" customFormat="1" ht="15.95" hidden="1" customHeight="1" x14ac:dyDescent="0.15">
      <c r="A54" s="114"/>
      <c r="G54" s="20"/>
    </row>
    <row r="55" spans="1:9" s="2" customFormat="1" ht="15.95" hidden="1" customHeight="1" x14ac:dyDescent="0.15">
      <c r="A55" s="114"/>
      <c r="G55" s="82"/>
    </row>
    <row r="56" spans="1:9" s="2" customFormat="1" ht="15.95" hidden="1" customHeight="1" x14ac:dyDescent="0.15">
      <c r="A56" s="114"/>
      <c r="G56" s="20"/>
    </row>
    <row r="57" spans="1:9" s="2" customFormat="1" ht="15.95" hidden="1" customHeight="1" x14ac:dyDescent="0.15">
      <c r="A57" s="114"/>
      <c r="G57" s="20"/>
    </row>
    <row r="58" spans="1:9" s="2" customFormat="1" ht="15.95" hidden="1" customHeight="1" x14ac:dyDescent="0.15">
      <c r="A58" s="114"/>
      <c r="G58" s="20"/>
      <c r="I58" s="114"/>
    </row>
    <row r="59" spans="1:9" s="2" customFormat="1" ht="15.95" hidden="1" customHeight="1" x14ac:dyDescent="0.15">
      <c r="B59" s="8" t="s">
        <v>135</v>
      </c>
      <c r="G59" s="20"/>
    </row>
    <row r="60" spans="1:9" s="2" customFormat="1" ht="15.95" hidden="1" customHeight="1" x14ac:dyDescent="0.15">
      <c r="G60" s="62"/>
    </row>
    <row r="61" spans="1:9" s="2" customFormat="1" ht="15.95" hidden="1" customHeight="1" x14ac:dyDescent="0.15">
      <c r="B61" s="20" t="s">
        <v>129</v>
      </c>
      <c r="C61" s="4" t="s">
        <v>4</v>
      </c>
      <c r="D61" s="20" t="s">
        <v>130</v>
      </c>
      <c r="E61" s="4" t="s">
        <v>4</v>
      </c>
      <c r="F61" s="20" t="s">
        <v>436</v>
      </c>
      <c r="G61" s="4" t="s">
        <v>9</v>
      </c>
      <c r="H61" s="20" t="s">
        <v>146</v>
      </c>
      <c r="I61" s="20"/>
    </row>
    <row r="62" spans="1:9" s="2" customFormat="1" ht="15.95" hidden="1" customHeight="1" x14ac:dyDescent="0.15">
      <c r="B62" s="20" t="s">
        <v>433</v>
      </c>
      <c r="C62" s="4" t="s">
        <v>4</v>
      </c>
      <c r="D62" s="20" t="s">
        <v>437</v>
      </c>
      <c r="E62" s="4" t="s">
        <v>4</v>
      </c>
      <c r="F62" s="20" t="s">
        <v>436</v>
      </c>
      <c r="G62" s="4" t="s">
        <v>9</v>
      </c>
      <c r="H62" s="20" t="s">
        <v>434</v>
      </c>
      <c r="I62" s="20"/>
    </row>
    <row r="63" spans="1:9" s="2" customFormat="1" ht="15.95" hidden="1" customHeight="1" x14ac:dyDescent="0.15">
      <c r="B63" s="20" t="s">
        <v>109</v>
      </c>
      <c r="C63" s="4" t="s">
        <v>4</v>
      </c>
      <c r="D63" s="20" t="s">
        <v>435</v>
      </c>
      <c r="E63" s="20"/>
      <c r="G63" s="4" t="s">
        <v>9</v>
      </c>
      <c r="H63" s="20" t="s">
        <v>147</v>
      </c>
      <c r="I63" s="20"/>
    </row>
    <row r="64" spans="1:9" s="2" customFormat="1" ht="15.95" hidden="1" customHeight="1" x14ac:dyDescent="0.15">
      <c r="B64" s="62" t="s">
        <v>165</v>
      </c>
      <c r="C64" s="4" t="s">
        <v>4</v>
      </c>
      <c r="D64" s="20" t="s">
        <v>438</v>
      </c>
      <c r="E64" s="20"/>
      <c r="G64" s="4" t="s">
        <v>9</v>
      </c>
      <c r="H64" s="20" t="s">
        <v>148</v>
      </c>
      <c r="I64" s="20"/>
    </row>
    <row r="65" spans="1:13" s="2" customFormat="1" ht="15.95" hidden="1" customHeight="1" x14ac:dyDescent="0.15">
      <c r="H65" s="4"/>
      <c r="I65" s="20"/>
    </row>
    <row r="66" spans="1:13" s="2" customFormat="1" ht="15.95" hidden="1" customHeight="1" x14ac:dyDescent="0.15"/>
    <row r="67" spans="1:13" s="2" customFormat="1" ht="15.95" hidden="1" customHeight="1" x14ac:dyDescent="0.15">
      <c r="A67" s="114"/>
      <c r="B67" s="8" t="s">
        <v>136</v>
      </c>
    </row>
    <row r="68" spans="1:13" s="2" customFormat="1" ht="15.95" hidden="1" customHeight="1" x14ac:dyDescent="0.15"/>
    <row r="69" spans="1:13" s="2" customFormat="1" ht="15.95" hidden="1" customHeight="1" x14ac:dyDescent="0.15">
      <c r="B69" s="119" t="s">
        <v>2</v>
      </c>
      <c r="C69" s="11" t="s">
        <v>4</v>
      </c>
      <c r="D69" s="142">
        <f>D9</f>
        <v>5000</v>
      </c>
      <c r="E69" s="2" t="s">
        <v>603</v>
      </c>
      <c r="G69" s="4" t="s">
        <v>9</v>
      </c>
      <c r="H69" s="20" t="s">
        <v>452</v>
      </c>
      <c r="J69" s="20"/>
      <c r="K69" s="20"/>
    </row>
    <row r="70" spans="1:13" s="2" customFormat="1" ht="15.95" hidden="1" customHeight="1" x14ac:dyDescent="0.15">
      <c r="B70" s="120" t="s">
        <v>3</v>
      </c>
      <c r="C70" s="11" t="s">
        <v>4</v>
      </c>
      <c r="D70" s="142">
        <f>(D7+D8)/2</f>
        <v>1350</v>
      </c>
      <c r="E70" s="2" t="s">
        <v>603</v>
      </c>
      <c r="G70" s="4" t="s">
        <v>9</v>
      </c>
      <c r="H70" s="20" t="s">
        <v>439</v>
      </c>
      <c r="J70" s="4"/>
      <c r="K70" s="20"/>
    </row>
    <row r="71" spans="1:13" s="2" customFormat="1" ht="15.95" hidden="1" customHeight="1" x14ac:dyDescent="0.15">
      <c r="B71" s="120" t="s">
        <v>11</v>
      </c>
      <c r="C71" s="11" t="s">
        <v>4</v>
      </c>
      <c r="D71" s="8">
        <f>ABS(D5*D70/10^3)</f>
        <v>0</v>
      </c>
      <c r="E71" s="8" t="s">
        <v>581</v>
      </c>
      <c r="F71" s="113"/>
      <c r="G71" s="4" t="s">
        <v>9</v>
      </c>
      <c r="H71" s="20" t="s">
        <v>430</v>
      </c>
      <c r="J71" s="4"/>
      <c r="K71" s="20"/>
    </row>
    <row r="72" spans="1:13" s="2" customFormat="1" ht="15.95" hidden="1" customHeight="1" x14ac:dyDescent="0.15">
      <c r="B72" s="120" t="s">
        <v>5</v>
      </c>
      <c r="C72" s="11" t="s">
        <v>4</v>
      </c>
      <c r="D72" s="142">
        <f>D6</f>
        <v>210000</v>
      </c>
      <c r="E72" s="27" t="s">
        <v>561</v>
      </c>
      <c r="G72" s="4" t="s">
        <v>9</v>
      </c>
      <c r="H72" s="20" t="s">
        <v>140</v>
      </c>
      <c r="J72" s="4"/>
      <c r="K72" s="20"/>
    </row>
    <row r="73" spans="1:13" s="2" customFormat="1" ht="15.95" hidden="1" customHeight="1" x14ac:dyDescent="0.15">
      <c r="B73" s="120" t="s">
        <v>10</v>
      </c>
      <c r="C73" s="11" t="s">
        <v>4</v>
      </c>
      <c r="D73" s="142">
        <f>D43</f>
        <v>4654166.666666667</v>
      </c>
      <c r="E73" s="2" t="s">
        <v>598</v>
      </c>
      <c r="G73" s="4" t="s">
        <v>9</v>
      </c>
      <c r="H73" s="20" t="s">
        <v>141</v>
      </c>
      <c r="J73" s="4"/>
      <c r="K73" s="20"/>
    </row>
    <row r="74" spans="1:13" s="2" customFormat="1" ht="15.95" hidden="1" customHeight="1" x14ac:dyDescent="0.15">
      <c r="J74" s="4"/>
      <c r="K74" s="20"/>
    </row>
    <row r="75" spans="1:13" s="2" customFormat="1" ht="15.95" hidden="1" customHeight="1" x14ac:dyDescent="0.15">
      <c r="A75" s="9"/>
      <c r="B75" s="8" t="s">
        <v>149</v>
      </c>
      <c r="J75" s="4"/>
      <c r="K75" s="20"/>
    </row>
    <row r="76" spans="1:13" s="2" customFormat="1" ht="15.95" hidden="1" customHeight="1" x14ac:dyDescent="0.15">
      <c r="J76" s="4"/>
      <c r="K76" s="20"/>
      <c r="L76" s="116"/>
      <c r="M76" s="114"/>
    </row>
    <row r="77" spans="1:13" s="2" customFormat="1" ht="15.95" hidden="1" customHeight="1" x14ac:dyDescent="0.15">
      <c r="A77" s="2" t="s">
        <v>1</v>
      </c>
      <c r="B77" s="20" t="s">
        <v>129</v>
      </c>
      <c r="C77" s="11" t="s">
        <v>4</v>
      </c>
      <c r="D77" s="20" t="s">
        <v>436</v>
      </c>
      <c r="G77" s="20"/>
      <c r="K77" s="20"/>
    </row>
    <row r="78" spans="1:13" s="2" customFormat="1" ht="15.95" hidden="1" customHeight="1" x14ac:dyDescent="0.15">
      <c r="B78" s="113"/>
      <c r="C78" s="11" t="s">
        <v>4</v>
      </c>
      <c r="D78" s="147">
        <f>D71*D69/2</f>
        <v>0</v>
      </c>
      <c r="E78" s="8" t="s">
        <v>599</v>
      </c>
      <c r="G78" s="20"/>
      <c r="K78" s="20"/>
    </row>
    <row r="79" spans="1:13" s="2" customFormat="1" ht="15.95" hidden="1" customHeight="1" x14ac:dyDescent="0.15">
      <c r="B79" s="114"/>
      <c r="C79" s="117"/>
      <c r="D79" s="115"/>
      <c r="G79" s="20"/>
      <c r="K79" s="20"/>
    </row>
    <row r="80" spans="1:13" s="2" customFormat="1" ht="15.95" hidden="1" customHeight="1" x14ac:dyDescent="0.15">
      <c r="B80" s="20" t="s">
        <v>433</v>
      </c>
      <c r="C80" s="11" t="s">
        <v>4</v>
      </c>
      <c r="D80" s="20" t="s">
        <v>436</v>
      </c>
      <c r="G80" s="62"/>
      <c r="K80" s="20"/>
    </row>
    <row r="81" spans="2:21" s="2" customFormat="1" ht="15.95" hidden="1" customHeight="1" x14ac:dyDescent="0.15">
      <c r="B81" s="118"/>
      <c r="C81" s="11" t="s">
        <v>4</v>
      </c>
      <c r="D81" s="147">
        <f>D71*D69/2</f>
        <v>0</v>
      </c>
      <c r="E81" s="8" t="s">
        <v>599</v>
      </c>
      <c r="K81" s="20"/>
    </row>
    <row r="82" spans="2:21" s="2" customFormat="1" ht="15.95" hidden="1" customHeight="1" x14ac:dyDescent="0.15">
      <c r="B82" s="118"/>
      <c r="C82" s="117"/>
      <c r="D82" s="14"/>
      <c r="K82" s="20"/>
    </row>
    <row r="83" spans="2:21" s="2" customFormat="1" ht="15.95" hidden="1" customHeight="1" x14ac:dyDescent="0.15">
      <c r="B83" s="20" t="s">
        <v>109</v>
      </c>
      <c r="C83" s="11" t="s">
        <v>4</v>
      </c>
      <c r="D83" s="20" t="s">
        <v>435</v>
      </c>
      <c r="F83" s="20"/>
      <c r="K83" s="20"/>
      <c r="N83" s="147"/>
      <c r="O83" s="27"/>
    </row>
    <row r="84" spans="2:21" s="2" customFormat="1" ht="15.95" hidden="1" customHeight="1" x14ac:dyDescent="0.15">
      <c r="C84" s="11" t="s">
        <v>4</v>
      </c>
      <c r="D84" s="147">
        <f>D71*D69^2/8</f>
        <v>0</v>
      </c>
      <c r="E84" s="27" t="s">
        <v>601</v>
      </c>
      <c r="F84" s="20"/>
      <c r="K84" s="20"/>
      <c r="N84" s="414"/>
    </row>
    <row r="85" spans="2:21" s="2" customFormat="1" ht="15.95" hidden="1" customHeight="1" x14ac:dyDescent="0.15">
      <c r="B85" s="118"/>
      <c r="C85" s="117"/>
      <c r="D85" s="14"/>
      <c r="K85" s="20"/>
    </row>
    <row r="86" spans="2:21" s="2" customFormat="1" ht="15.95" hidden="1" customHeight="1" x14ac:dyDescent="0.15">
      <c r="B86" s="62" t="s">
        <v>165</v>
      </c>
      <c r="C86" s="11" t="s">
        <v>4</v>
      </c>
      <c r="D86" s="20" t="s">
        <v>438</v>
      </c>
      <c r="K86" s="20"/>
      <c r="N86" s="412"/>
      <c r="O86" s="27"/>
    </row>
    <row r="87" spans="2:21" s="2" customFormat="1" ht="15.95" hidden="1" customHeight="1" x14ac:dyDescent="0.15">
      <c r="B87" s="118"/>
      <c r="C87" s="11" t="s">
        <v>4</v>
      </c>
      <c r="D87" s="63">
        <f>(5*D71*D69^4)/(384*D72*D73)</f>
        <v>0</v>
      </c>
      <c r="E87" s="8" t="s">
        <v>603</v>
      </c>
      <c r="K87" s="20"/>
      <c r="N87" s="414"/>
    </row>
    <row r="88" spans="2:21" ht="15.95" hidden="1" customHeight="1" x14ac:dyDescent="0.15">
      <c r="B88" s="110"/>
      <c r="C88" s="4"/>
      <c r="D88" s="110"/>
      <c r="H88" s="27"/>
      <c r="K88" s="20"/>
    </row>
    <row r="89" spans="2:21" ht="15.95" hidden="1" customHeight="1" x14ac:dyDescent="0.15">
      <c r="C89" s="4"/>
      <c r="D89" s="14"/>
      <c r="E89" s="27"/>
      <c r="K89" s="20"/>
    </row>
    <row r="90" spans="2:21" ht="15.95" hidden="1" customHeight="1" x14ac:dyDescent="0.15">
      <c r="B90" s="111"/>
      <c r="C90" s="4"/>
      <c r="D90" s="110"/>
      <c r="H90" s="27"/>
      <c r="J90" s="27"/>
      <c r="K90" s="20"/>
    </row>
    <row r="91" spans="2:21" ht="15.95" hidden="1" customHeight="1" x14ac:dyDescent="0.15">
      <c r="B91" s="52"/>
      <c r="C91" s="4"/>
      <c r="D91" s="18"/>
      <c r="E91" s="27"/>
      <c r="K91" s="20"/>
    </row>
    <row r="92" spans="2:21" ht="15.95" hidden="1" customHeight="1" x14ac:dyDescent="0.15">
      <c r="B92" s="52"/>
      <c r="C92" s="4"/>
      <c r="K92" s="20"/>
    </row>
    <row r="93" spans="2:21" ht="15.95" hidden="1" customHeight="1" x14ac:dyDescent="0.15">
      <c r="B93" s="61" t="s">
        <v>189</v>
      </c>
    </row>
    <row r="94" spans="2:21" ht="15.95" hidden="1" customHeight="1" x14ac:dyDescent="0.15">
      <c r="B94" s="61"/>
      <c r="D94" s="22"/>
      <c r="O94" s="102"/>
      <c r="Q94" s="102"/>
      <c r="S94" s="102"/>
      <c r="U94" s="102"/>
    </row>
    <row r="95" spans="2:21" ht="15.95" hidden="1" customHeight="1" x14ac:dyDescent="0.15">
      <c r="B95" s="20" t="s">
        <v>109</v>
      </c>
      <c r="C95" s="4" t="s">
        <v>4</v>
      </c>
      <c r="D95" s="147">
        <f>D84</f>
        <v>0</v>
      </c>
      <c r="E95" s="2" t="s">
        <v>602</v>
      </c>
      <c r="G95" s="4" t="s">
        <v>9</v>
      </c>
      <c r="H95" s="20" t="s">
        <v>182</v>
      </c>
    </row>
    <row r="96" spans="2:21" ht="15.95" hidden="1" customHeight="1" x14ac:dyDescent="0.15">
      <c r="B96" s="19"/>
    </row>
    <row r="97" spans="2:15" ht="15.95" hidden="1" customHeight="1" x14ac:dyDescent="0.15">
      <c r="B97" s="20" t="s">
        <v>179</v>
      </c>
      <c r="C97" s="4" t="s">
        <v>4</v>
      </c>
      <c r="D97" s="147">
        <f>D44</f>
        <v>50315.315315315318</v>
      </c>
      <c r="E97" s="2" t="s">
        <v>606</v>
      </c>
      <c r="G97" s="4" t="s">
        <v>9</v>
      </c>
      <c r="H97" s="20" t="s">
        <v>183</v>
      </c>
    </row>
    <row r="98" spans="2:15" ht="15.95" hidden="1" customHeight="1" x14ac:dyDescent="0.15">
      <c r="C98" s="4"/>
    </row>
    <row r="99" spans="2:15" ht="15.95" hidden="1" customHeight="1" x14ac:dyDescent="0.15">
      <c r="B99" s="19" t="s">
        <v>177</v>
      </c>
      <c r="D99" s="12"/>
    </row>
    <row r="100" spans="2:15" ht="15.95" hidden="1" customHeight="1" x14ac:dyDescent="0.15"/>
    <row r="101" spans="2:15" ht="15.95" hidden="1" customHeight="1" x14ac:dyDescent="0.15">
      <c r="B101" s="20" t="s">
        <v>180</v>
      </c>
      <c r="C101" s="4" t="s">
        <v>4</v>
      </c>
      <c r="D101" s="20" t="s">
        <v>625</v>
      </c>
    </row>
    <row r="102" spans="2:15" ht="15.95" hidden="1" customHeight="1" x14ac:dyDescent="0.15">
      <c r="C102" s="4" t="s">
        <v>4</v>
      </c>
      <c r="D102" s="13">
        <f>0.85*D95/D97</f>
        <v>0</v>
      </c>
      <c r="E102" s="13" t="s">
        <v>561</v>
      </c>
    </row>
    <row r="103" spans="2:15" ht="15.95" hidden="1" customHeight="1" x14ac:dyDescent="0.15"/>
    <row r="104" spans="2:15" ht="15.95" hidden="1" customHeight="1" x14ac:dyDescent="0.15">
      <c r="B104" s="19" t="s">
        <v>178</v>
      </c>
    </row>
    <row r="105" spans="2:15" ht="15.95" hidden="1" customHeight="1" x14ac:dyDescent="0.15">
      <c r="B105" s="19"/>
      <c r="G105" s="4"/>
      <c r="H105" s="20"/>
      <c r="M105" s="432">
        <f>M1</f>
        <v>1</v>
      </c>
      <c r="N105" s="2"/>
      <c r="O105" s="31"/>
    </row>
    <row r="106" spans="2:15" ht="15.95" hidden="1" customHeight="1" x14ac:dyDescent="0.15">
      <c r="B106" s="20" t="s">
        <v>185</v>
      </c>
      <c r="C106" s="4" t="s">
        <v>4</v>
      </c>
      <c r="D106" s="13">
        <f>IF(M105=M106,N106,N107)</f>
        <v>275</v>
      </c>
      <c r="E106" s="13" t="s">
        <v>561</v>
      </c>
      <c r="G106" s="4" t="s">
        <v>9</v>
      </c>
      <c r="H106" s="20" t="str">
        <f>IF(M105=M106,O106,O107)</f>
        <v>SS 275  Yield Strength</v>
      </c>
      <c r="I106" s="2"/>
      <c r="M106" s="430">
        <v>1</v>
      </c>
      <c r="N106" s="431">
        <v>275</v>
      </c>
      <c r="O106" s="429" t="s">
        <v>842</v>
      </c>
    </row>
    <row r="107" spans="2:15" ht="15.95" hidden="1" customHeight="1" x14ac:dyDescent="0.15">
      <c r="B107" s="20"/>
      <c r="C107" s="4"/>
      <c r="G107" s="4"/>
      <c r="H107" s="20"/>
      <c r="M107" s="430">
        <v>2</v>
      </c>
      <c r="N107" s="431">
        <v>205</v>
      </c>
      <c r="O107" s="429" t="s">
        <v>1081</v>
      </c>
    </row>
    <row r="108" spans="2:15" ht="15.95" hidden="1" customHeight="1" x14ac:dyDescent="0.15">
      <c r="B108" s="20" t="s">
        <v>354</v>
      </c>
      <c r="C108" s="4" t="s">
        <v>4</v>
      </c>
      <c r="D108" s="64" t="s">
        <v>843</v>
      </c>
    </row>
    <row r="109" spans="2:15" ht="15.95" hidden="1" customHeight="1" x14ac:dyDescent="0.15">
      <c r="B109" s="22"/>
      <c r="C109" s="4" t="s">
        <v>4</v>
      </c>
      <c r="D109" s="13">
        <f>0.66*D106</f>
        <v>181.5</v>
      </c>
      <c r="E109" s="13" t="s">
        <v>561</v>
      </c>
    </row>
    <row r="110" spans="2:15" ht="15.95" hidden="1" customHeight="1" x14ac:dyDescent="0.15"/>
    <row r="111" spans="2:15" ht="15.95" hidden="1" customHeight="1" x14ac:dyDescent="0.15">
      <c r="B111" s="20" t="s">
        <v>365</v>
      </c>
      <c r="C111" s="4" t="s">
        <v>4</v>
      </c>
      <c r="D111" s="105" t="s">
        <v>610</v>
      </c>
      <c r="G111" s="4" t="s">
        <v>9</v>
      </c>
      <c r="H111" s="62" t="s">
        <v>413</v>
      </c>
      <c r="I111" s="4" t="s">
        <v>4</v>
      </c>
      <c r="J111" s="106">
        <f>D10</f>
        <v>2600</v>
      </c>
      <c r="K111" s="8" t="s">
        <v>609</v>
      </c>
    </row>
    <row r="112" spans="2:15" ht="15.95" hidden="1" customHeight="1" x14ac:dyDescent="0.15">
      <c r="B112" s="22"/>
      <c r="C112" s="4" t="s">
        <v>4</v>
      </c>
      <c r="D112" s="13">
        <f>90000/(J111*J112/J113)</f>
        <v>57.692307692307693</v>
      </c>
      <c r="E112" s="13" t="s">
        <v>561</v>
      </c>
      <c r="H112" s="62" t="s">
        <v>117</v>
      </c>
      <c r="I112" s="4" t="s">
        <v>4</v>
      </c>
      <c r="J112" s="106">
        <f>D35</f>
        <v>150</v>
      </c>
      <c r="K112" s="8" t="s">
        <v>609</v>
      </c>
    </row>
    <row r="113" spans="2:14" ht="15.95" hidden="1" customHeight="1" x14ac:dyDescent="0.15">
      <c r="H113" s="62" t="s">
        <v>414</v>
      </c>
      <c r="I113" s="4" t="s">
        <v>4</v>
      </c>
      <c r="J113" s="106">
        <f>J112/6*D37</f>
        <v>250</v>
      </c>
      <c r="K113" s="8" t="s">
        <v>608</v>
      </c>
      <c r="N113" s="21"/>
    </row>
    <row r="114" spans="2:14" ht="15.95" hidden="1" customHeight="1" x14ac:dyDescent="0.15">
      <c r="B114" s="20" t="s">
        <v>184</v>
      </c>
      <c r="C114" s="4" t="s">
        <v>4</v>
      </c>
      <c r="D114" s="105" t="s">
        <v>417</v>
      </c>
      <c r="F114" s="20"/>
      <c r="I114" s="4"/>
      <c r="N114" s="458"/>
    </row>
    <row r="115" spans="2:14" ht="15.95" hidden="1" customHeight="1" x14ac:dyDescent="0.15">
      <c r="C115" s="4" t="s">
        <v>4</v>
      </c>
      <c r="D115" s="13">
        <f>MIN(D109,D112)</f>
        <v>57.692307692307693</v>
      </c>
      <c r="E115" s="13" t="s">
        <v>561</v>
      </c>
      <c r="I115" s="4"/>
    </row>
    <row r="116" spans="2:14" ht="15.95" hidden="1" customHeight="1" x14ac:dyDescent="0.15"/>
    <row r="117" spans="2:14" ht="15.95" hidden="1" customHeight="1" x14ac:dyDescent="0.15">
      <c r="B117" s="19" t="s">
        <v>187</v>
      </c>
    </row>
    <row r="118" spans="2:14" ht="15.95" hidden="1" customHeight="1" x14ac:dyDescent="0.15">
      <c r="B118" s="19"/>
    </row>
    <row r="119" spans="2:14" ht="15.95" hidden="1" customHeight="1" x14ac:dyDescent="0.15">
      <c r="B119" s="20" t="s">
        <v>188</v>
      </c>
      <c r="C119" s="4" t="s">
        <v>4</v>
      </c>
      <c r="D119" s="22">
        <f>D102/D115</f>
        <v>0</v>
      </c>
      <c r="E119" s="23" t="str">
        <f>IF(D119&gt;F119,"&gt;","&lt;")</f>
        <v>&lt;</v>
      </c>
      <c r="F119" s="3">
        <v>1</v>
      </c>
      <c r="G119" s="91" t="str">
        <f>IF(D119&lt;F119,"O.K.","N.G.")</f>
        <v>O.K.</v>
      </c>
    </row>
    <row r="120" spans="2:14" ht="15.95" hidden="1" customHeight="1" x14ac:dyDescent="0.15">
      <c r="B120" s="20"/>
      <c r="C120" s="4"/>
      <c r="D120" s="22"/>
      <c r="E120" s="23"/>
      <c r="F120" s="3"/>
    </row>
    <row r="121" spans="2:14" ht="15.95" hidden="1" customHeight="1" x14ac:dyDescent="0.15">
      <c r="B121" s="20"/>
      <c r="C121" s="4"/>
      <c r="D121" s="22"/>
      <c r="E121" s="23"/>
      <c r="F121" s="3"/>
    </row>
    <row r="122" spans="2:14" ht="15.95" hidden="1" customHeight="1" x14ac:dyDescent="0.15">
      <c r="B122" s="24" t="s">
        <v>190</v>
      </c>
    </row>
    <row r="123" spans="2:14" ht="15.95" hidden="1" customHeight="1" x14ac:dyDescent="0.15"/>
    <row r="124" spans="2:14" ht="15.95" hidden="1" customHeight="1" x14ac:dyDescent="0.15">
      <c r="B124" s="19" t="s">
        <v>192</v>
      </c>
    </row>
    <row r="125" spans="2:14" ht="15.95" hidden="1" customHeight="1" x14ac:dyDescent="0.15">
      <c r="B125" s="19"/>
    </row>
    <row r="126" spans="2:14" ht="15.95" hidden="1" customHeight="1" x14ac:dyDescent="0.15">
      <c r="B126" s="62" t="s">
        <v>165</v>
      </c>
      <c r="C126" s="4" t="s">
        <v>4</v>
      </c>
      <c r="D126" s="8">
        <f>D16</f>
        <v>0</v>
      </c>
      <c r="E126" s="13" t="s">
        <v>583</v>
      </c>
    </row>
    <row r="127" spans="2:14" ht="15.95" hidden="1" customHeight="1" x14ac:dyDescent="0.15"/>
    <row r="128" spans="2:14" ht="15.95" hidden="1" customHeight="1" x14ac:dyDescent="0.15"/>
    <row r="129" spans="1:21" ht="15.95" hidden="1" customHeight="1" x14ac:dyDescent="0.15">
      <c r="B129" s="19" t="s">
        <v>191</v>
      </c>
      <c r="E129" s="26" t="s">
        <v>195</v>
      </c>
    </row>
    <row r="130" spans="1:21" ht="15.95" hidden="1" customHeight="1" x14ac:dyDescent="0.15">
      <c r="B130" s="19"/>
    </row>
    <row r="131" spans="1:21" ht="15.95" hidden="1" customHeight="1" x14ac:dyDescent="0.15">
      <c r="B131" s="62" t="s">
        <v>2</v>
      </c>
      <c r="C131" s="4" t="s">
        <v>4</v>
      </c>
      <c r="D131" s="142">
        <f>D9</f>
        <v>5000</v>
      </c>
      <c r="E131" s="8" t="str">
        <f>IF(D131&gt;4110,"mm      &gt;     4110 mm","mm     ≤     4110 mm")</f>
        <v>mm      &gt;     4110 mm</v>
      </c>
      <c r="M131" s="27" t="s">
        <v>196</v>
      </c>
      <c r="N131" s="25">
        <f>D131/240+6.35</f>
        <v>27.18333333333333</v>
      </c>
    </row>
    <row r="132" spans="1:21" ht="15.95" hidden="1" customHeight="1" x14ac:dyDescent="0.15">
      <c r="B132" s="62" t="s">
        <v>193</v>
      </c>
      <c r="C132" s="4" t="s">
        <v>4</v>
      </c>
      <c r="D132" s="152">
        <f>D131</f>
        <v>5000</v>
      </c>
      <c r="E132" s="19" t="str">
        <f>IF(D131&lt;4110,"mm      /     175","mm      /      240 + 6.35 mm ")</f>
        <v xml:space="preserve">mm      /      240 + 6.35 mm </v>
      </c>
      <c r="M132" s="27" t="s">
        <v>197</v>
      </c>
      <c r="N132" s="25">
        <f>D131/175</f>
        <v>28.571428571428573</v>
      </c>
    </row>
    <row r="133" spans="1:21" ht="15.95" hidden="1" customHeight="1" x14ac:dyDescent="0.15">
      <c r="B133" s="22"/>
      <c r="C133" s="4" t="s">
        <v>4</v>
      </c>
      <c r="D133" s="22">
        <f>IF(D131&gt;4110,N131,N132)</f>
        <v>27.18333333333333</v>
      </c>
      <c r="E133" s="8" t="s">
        <v>600</v>
      </c>
    </row>
    <row r="134" spans="1:21" ht="15.95" hidden="1" customHeight="1" x14ac:dyDescent="0.15"/>
    <row r="135" spans="1:21" ht="15.95" hidden="1" customHeight="1" x14ac:dyDescent="0.15"/>
    <row r="136" spans="1:21" ht="15.95" hidden="1" customHeight="1" x14ac:dyDescent="0.15">
      <c r="B136" s="19" t="s">
        <v>198</v>
      </c>
    </row>
    <row r="137" spans="1:21" s="4" customFormat="1" ht="15.95" hidden="1" customHeight="1" x14ac:dyDescent="0.15">
      <c r="A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O137" s="8"/>
      <c r="P137" s="8"/>
      <c r="Q137" s="8"/>
      <c r="R137" s="8"/>
      <c r="S137" s="8"/>
      <c r="T137" s="8"/>
      <c r="U137" s="8"/>
    </row>
    <row r="138" spans="1:21" s="4" customFormat="1" ht="15.95" hidden="1" customHeight="1" x14ac:dyDescent="0.15">
      <c r="A138" s="8"/>
      <c r="B138" s="20" t="s">
        <v>405</v>
      </c>
      <c r="C138" s="4" t="s">
        <v>4</v>
      </c>
      <c r="D138" s="22">
        <f>D126/(D133)</f>
        <v>0</v>
      </c>
      <c r="E138" s="23" t="str">
        <f>IF(D138&gt;F138,"&gt;","&lt;")</f>
        <v>&lt;</v>
      </c>
      <c r="F138" s="3">
        <v>1</v>
      </c>
      <c r="G138" s="91" t="str">
        <f>IF(D138&lt;F138,"O.K.","N.G.")</f>
        <v>O.K.</v>
      </c>
      <c r="I138" s="27"/>
      <c r="J138" s="27"/>
      <c r="K138" s="27"/>
      <c r="L138" s="27"/>
      <c r="M138" s="27"/>
      <c r="O138" s="8"/>
      <c r="P138" s="8"/>
      <c r="Q138" s="8"/>
      <c r="R138" s="8"/>
      <c r="S138" s="8"/>
      <c r="T138" s="8"/>
      <c r="U138" s="8"/>
    </row>
    <row r="139" spans="1:21" ht="15.95" hidden="1" customHeight="1" x14ac:dyDescent="0.15"/>
    <row r="140" spans="1:21" ht="15.95" hidden="1" customHeight="1" x14ac:dyDescent="0.15"/>
  </sheetData>
  <sheetProtection algorithmName="SHA-512" hashValue="MaLCLwYTrNOBCpsdGxgtHyOHwNIaWoh5Ot9LLAUFfoYUXyGsvmRyZ6loVTsp+oVmG7f4eZ5yT3s5mXdMJkUEUQ==" saltValue="2DGs2shiTl49cnk1ewbouQ==" spinCount="100000" sheet="1" objects="1" scenarios="1" selectLockedCells="1"/>
  <protectedRanges>
    <protectedRange sqref="D7:D10" name="범위1_2"/>
    <protectedRange sqref="D35:D38" name="범위1_1_1"/>
  </protectedRanges>
  <mergeCells count="5">
    <mergeCell ref="B22:E32"/>
    <mergeCell ref="M6:N6"/>
    <mergeCell ref="N12:N13"/>
    <mergeCell ref="O12:O13"/>
    <mergeCell ref="B46:K46"/>
  </mergeCells>
  <phoneticPr fontId="1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00B0F0"/>
  </sheetPr>
  <dimension ref="A1:U140"/>
  <sheetViews>
    <sheetView view="pageBreakPreview" zoomScale="75" zoomScaleNormal="100" zoomScaleSheetLayoutView="75" workbookViewId="0"/>
  </sheetViews>
  <sheetFormatPr defaultRowHeight="15.95" customHeight="1" x14ac:dyDescent="0.15"/>
  <cols>
    <col min="1" max="1" width="2.77734375" style="8" customWidth="1"/>
    <col min="2" max="2" width="7.33203125" style="8" customWidth="1"/>
    <col min="3" max="3" width="5.33203125" style="8" customWidth="1"/>
    <col min="4" max="4" width="9.33203125" style="8" customWidth="1"/>
    <col min="5" max="5" width="5.33203125" style="8" customWidth="1"/>
    <col min="6" max="6" width="9.33203125" style="8" customWidth="1"/>
    <col min="7" max="8" width="7.33203125" style="8" customWidth="1"/>
    <col min="9" max="9" width="5.33203125" style="8" customWidth="1"/>
    <col min="10" max="10" width="9.33203125" style="8" customWidth="1"/>
    <col min="11" max="11" width="7.33203125" style="8" customWidth="1"/>
    <col min="12" max="12" width="2.77734375" style="8" customWidth="1"/>
    <col min="13" max="13" width="6.77734375" style="8" customWidth="1"/>
    <col min="14" max="14" width="8.5546875" style="8" customWidth="1"/>
    <col min="15" max="15" width="8.77734375" style="8" customWidth="1"/>
    <col min="16" max="16" width="9.77734375" style="8" customWidth="1"/>
    <col min="17" max="17" width="6.77734375" style="8" customWidth="1"/>
    <col min="18" max="18" width="8.77734375" style="8" customWidth="1"/>
    <col min="19" max="20" width="6.77734375" style="8" customWidth="1"/>
    <col min="21" max="21" width="9.77734375" style="8" customWidth="1"/>
    <col min="22" max="16384" width="8.88671875" style="8"/>
  </cols>
  <sheetData>
    <row r="1" spans="1:17" ht="15.95" customHeight="1" x14ac:dyDescent="0.15">
      <c r="A1" s="60" t="s">
        <v>412</v>
      </c>
      <c r="M1" s="700">
        <v>1</v>
      </c>
    </row>
    <row r="2" spans="1:17" ht="15.95" customHeight="1" x14ac:dyDescent="0.15">
      <c r="M2" s="161">
        <v>1</v>
      </c>
      <c r="N2" s="428">
        <v>210000</v>
      </c>
      <c r="O2" s="429" t="s">
        <v>1079</v>
      </c>
      <c r="P2" s="415"/>
    </row>
    <row r="3" spans="1:17" ht="15.95" customHeight="1" x14ac:dyDescent="0.15">
      <c r="B3" s="61" t="s">
        <v>102</v>
      </c>
      <c r="M3" s="161">
        <v>2</v>
      </c>
      <c r="N3" s="428">
        <v>193000</v>
      </c>
      <c r="O3" s="429" t="s">
        <v>1080</v>
      </c>
      <c r="P3" s="415"/>
    </row>
    <row r="5" spans="1:17" ht="15.95" customHeight="1" x14ac:dyDescent="0.15">
      <c r="B5" s="62" t="s">
        <v>103</v>
      </c>
      <c r="C5" s="4" t="s">
        <v>4</v>
      </c>
      <c r="D5" s="157">
        <f>(SUMPRODUCT((N8:N10=N7)*(O7:P7=M7),O8:P10))</f>
        <v>0</v>
      </c>
      <c r="E5" s="27" t="s">
        <v>560</v>
      </c>
      <c r="H5" s="20" t="s">
        <v>113</v>
      </c>
      <c r="J5" s="33"/>
      <c r="M5" s="22"/>
      <c r="P5" s="2"/>
      <c r="Q5" s="2"/>
    </row>
    <row r="6" spans="1:17" ht="15.95" customHeight="1" x14ac:dyDescent="0.15">
      <c r="B6" s="62" t="s">
        <v>111</v>
      </c>
      <c r="C6" s="4" t="s">
        <v>4</v>
      </c>
      <c r="D6" s="142">
        <f>IF(M1=M2,N2,N3)</f>
        <v>210000</v>
      </c>
      <c r="E6" s="27" t="s">
        <v>561</v>
      </c>
      <c r="H6" s="20" t="str">
        <f>IF(M1=M2,O2,O3)</f>
        <v>( Modulus of Elasticity , SS 275 )</v>
      </c>
      <c r="I6" s="27"/>
      <c r="M6" s="782" t="s">
        <v>651</v>
      </c>
      <c r="N6" s="782"/>
      <c r="O6" s="163"/>
      <c r="P6" s="164"/>
      <c r="Q6" s="10"/>
    </row>
    <row r="7" spans="1:17" ht="15.95" customHeight="1" x14ac:dyDescent="0.15">
      <c r="B7" s="62" t="s">
        <v>104</v>
      </c>
      <c r="C7" s="4" t="s">
        <v>4</v>
      </c>
      <c r="D7" s="683">
        <v>1200</v>
      </c>
      <c r="E7" s="27" t="s">
        <v>562</v>
      </c>
      <c r="H7" s="20" t="s">
        <v>114</v>
      </c>
      <c r="M7" s="685" t="s">
        <v>1242</v>
      </c>
      <c r="N7" s="686">
        <v>1</v>
      </c>
      <c r="O7" s="160" t="s">
        <v>649</v>
      </c>
      <c r="P7" s="160" t="s">
        <v>650</v>
      </c>
    </row>
    <row r="8" spans="1:17" ht="15.95" customHeight="1" x14ac:dyDescent="0.15">
      <c r="B8" s="62" t="s">
        <v>105</v>
      </c>
      <c r="C8" s="4" t="s">
        <v>4</v>
      </c>
      <c r="D8" s="683">
        <v>1500</v>
      </c>
      <c r="E8" s="27" t="s">
        <v>562</v>
      </c>
      <c r="H8" s="20" t="s">
        <v>115</v>
      </c>
      <c r="M8" s="165" t="s">
        <v>557</v>
      </c>
      <c r="N8" s="161">
        <v>1</v>
      </c>
      <c r="O8" s="162" t="str">
        <f>'WIND LOAD'!$T$7</f>
        <v>-</v>
      </c>
      <c r="P8" s="162">
        <f>'WIND LOAD'!$U$7</f>
        <v>0.96</v>
      </c>
    </row>
    <row r="9" spans="1:17" ht="15.95" customHeight="1" x14ac:dyDescent="0.15">
      <c r="B9" s="20" t="s">
        <v>595</v>
      </c>
      <c r="C9" s="4" t="s">
        <v>4</v>
      </c>
      <c r="D9" s="683">
        <v>1000</v>
      </c>
      <c r="E9" s="27" t="s">
        <v>562</v>
      </c>
      <c r="H9" s="20" t="s">
        <v>449</v>
      </c>
      <c r="J9" s="27"/>
      <c r="M9" s="165" t="s">
        <v>558</v>
      </c>
      <c r="N9" s="161">
        <v>2</v>
      </c>
      <c r="O9" s="162" t="str">
        <f>'WIND LOAD'!$T$8</f>
        <v>-</v>
      </c>
      <c r="P9" s="162">
        <f>'WIND LOAD'!$U$8</f>
        <v>-0.82599999999999996</v>
      </c>
    </row>
    <row r="10" spans="1:17" ht="15.95" customHeight="1" x14ac:dyDescent="0.15">
      <c r="B10" s="20" t="s">
        <v>594</v>
      </c>
      <c r="C10" s="4" t="s">
        <v>4</v>
      </c>
      <c r="D10" s="683">
        <v>4000</v>
      </c>
      <c r="E10" s="27" t="s">
        <v>603</v>
      </c>
      <c r="H10" s="20" t="s">
        <v>116</v>
      </c>
      <c r="M10" s="165" t="s">
        <v>559</v>
      </c>
      <c r="N10" s="161">
        <v>3</v>
      </c>
      <c r="O10" s="162" t="str">
        <f>'WIND LOAD'!$T$9</f>
        <v>-</v>
      </c>
      <c r="P10" s="162">
        <f>'WIND LOAD'!$U$9</f>
        <v>-0.98899999999999999</v>
      </c>
    </row>
    <row r="11" spans="1:17" ht="15.95" customHeight="1" x14ac:dyDescent="0.15">
      <c r="B11" s="20" t="s">
        <v>596</v>
      </c>
      <c r="C11" s="4" t="s">
        <v>4</v>
      </c>
      <c r="D11" s="683">
        <v>2600</v>
      </c>
      <c r="E11" s="27" t="s">
        <v>600</v>
      </c>
      <c r="H11" s="20" t="s">
        <v>116</v>
      </c>
    </row>
    <row r="12" spans="1:17" ht="15.95" customHeight="1" x14ac:dyDescent="0.15">
      <c r="M12" s="140"/>
      <c r="N12" s="786"/>
      <c r="O12" s="786"/>
    </row>
    <row r="13" spans="1:17" ht="15.95" customHeight="1" x14ac:dyDescent="0.15">
      <c r="M13" s="140"/>
      <c r="N13" s="786"/>
      <c r="O13" s="786"/>
    </row>
    <row r="14" spans="1:17" ht="15.95" customHeight="1" x14ac:dyDescent="0.15">
      <c r="B14" s="20" t="s">
        <v>109</v>
      </c>
      <c r="C14" s="4" t="s">
        <v>4</v>
      </c>
      <c r="D14" s="147">
        <f>D89</f>
        <v>0</v>
      </c>
      <c r="E14" s="27" t="s">
        <v>618</v>
      </c>
      <c r="F14" s="20"/>
      <c r="H14" s="137" t="s">
        <v>110</v>
      </c>
      <c r="I14" s="4" t="s">
        <v>4</v>
      </c>
      <c r="J14" s="92">
        <f>D119</f>
        <v>0</v>
      </c>
      <c r="K14" s="67" t="str">
        <f>IF(J14&lt;1,"O.K","N.G")</f>
        <v>O.K</v>
      </c>
      <c r="N14" s="13"/>
    </row>
    <row r="16" spans="1:17" ht="15.95" customHeight="1" x14ac:dyDescent="0.15">
      <c r="B16" s="20" t="s">
        <v>165</v>
      </c>
      <c r="C16" s="4" t="s">
        <v>4</v>
      </c>
      <c r="D16" s="63">
        <f>D91</f>
        <v>0</v>
      </c>
      <c r="E16" s="27" t="s">
        <v>562</v>
      </c>
      <c r="F16" s="20"/>
    </row>
    <row r="17" spans="2:12" ht="15.95" customHeight="1" x14ac:dyDescent="0.15">
      <c r="B17" s="20" t="s">
        <v>588</v>
      </c>
      <c r="C17" s="4" t="s">
        <v>4</v>
      </c>
      <c r="D17" s="63">
        <f>D133</f>
        <v>22.857142857142858</v>
      </c>
      <c r="E17" s="27" t="s">
        <v>562</v>
      </c>
      <c r="H17" s="64" t="s">
        <v>112</v>
      </c>
      <c r="I17" s="4" t="s">
        <v>4</v>
      </c>
      <c r="J17" s="92">
        <f>D138</f>
        <v>0</v>
      </c>
      <c r="K17" s="67" t="str">
        <f>IF(J17&lt;1,"O.K","N.G")</f>
        <v>O.K</v>
      </c>
    </row>
    <row r="19" spans="2:12" ht="15.95" customHeight="1" x14ac:dyDescent="0.15">
      <c r="B19" s="62"/>
      <c r="C19" s="66"/>
      <c r="D19" s="4"/>
    </row>
    <row r="20" spans="2:12" ht="15.95" customHeight="1" x14ac:dyDescent="0.15">
      <c r="B20" s="61" t="s">
        <v>122</v>
      </c>
      <c r="E20" s="33"/>
    </row>
    <row r="21" spans="2:12" ht="15.95" customHeight="1" thickBot="1" x14ac:dyDescent="0.2">
      <c r="K21" s="65"/>
      <c r="L21" s="65"/>
    </row>
    <row r="22" spans="2:12" ht="15.95" customHeight="1" x14ac:dyDescent="0.15">
      <c r="B22" s="827"/>
      <c r="C22" s="784"/>
      <c r="D22" s="784"/>
      <c r="E22" s="785"/>
      <c r="F22" s="31"/>
      <c r="G22" s="121"/>
      <c r="H22" s="122"/>
      <c r="I22" s="122"/>
      <c r="J22" s="122"/>
      <c r="K22" s="123"/>
    </row>
    <row r="23" spans="2:12" ht="15.95" customHeight="1" x14ac:dyDescent="0.15">
      <c r="B23" s="828"/>
      <c r="C23" s="786"/>
      <c r="D23" s="786"/>
      <c r="E23" s="787"/>
      <c r="F23" s="31"/>
      <c r="G23" s="75"/>
      <c r="K23" s="94"/>
    </row>
    <row r="24" spans="2:12" ht="15.95" customHeight="1" x14ac:dyDescent="0.15">
      <c r="B24" s="828"/>
      <c r="C24" s="786"/>
      <c r="D24" s="786"/>
      <c r="E24" s="787"/>
      <c r="F24" s="31"/>
      <c r="G24" s="75"/>
      <c r="K24" s="94"/>
    </row>
    <row r="25" spans="2:12" ht="15.95" customHeight="1" x14ac:dyDescent="0.15">
      <c r="B25" s="828"/>
      <c r="C25" s="786"/>
      <c r="D25" s="786"/>
      <c r="E25" s="787"/>
      <c r="F25" s="31"/>
      <c r="G25" s="75"/>
      <c r="K25" s="94"/>
    </row>
    <row r="26" spans="2:12" ht="15.95" customHeight="1" x14ac:dyDescent="0.15">
      <c r="B26" s="828"/>
      <c r="C26" s="786"/>
      <c r="D26" s="786"/>
      <c r="E26" s="787"/>
      <c r="F26" s="31"/>
      <c r="G26" s="75"/>
      <c r="K26" s="94"/>
    </row>
    <row r="27" spans="2:12" ht="15.95" customHeight="1" x14ac:dyDescent="0.15">
      <c r="B27" s="828"/>
      <c r="C27" s="786"/>
      <c r="D27" s="786"/>
      <c r="E27" s="787"/>
      <c r="F27" s="31"/>
      <c r="G27" s="75"/>
      <c r="K27" s="94"/>
    </row>
    <row r="28" spans="2:12" ht="15.95" customHeight="1" x14ac:dyDescent="0.15">
      <c r="B28" s="828"/>
      <c r="C28" s="786"/>
      <c r="D28" s="786"/>
      <c r="E28" s="787"/>
      <c r="F28" s="31"/>
      <c r="G28" s="75"/>
      <c r="K28" s="94"/>
    </row>
    <row r="29" spans="2:12" ht="15.95" customHeight="1" x14ac:dyDescent="0.15">
      <c r="B29" s="828"/>
      <c r="C29" s="786"/>
      <c r="D29" s="786"/>
      <c r="E29" s="787"/>
      <c r="F29" s="31"/>
      <c r="G29" s="75"/>
      <c r="K29" s="94"/>
    </row>
    <row r="30" spans="2:12" ht="15.95" customHeight="1" x14ac:dyDescent="0.15">
      <c r="B30" s="828"/>
      <c r="C30" s="786"/>
      <c r="D30" s="786"/>
      <c r="E30" s="787"/>
      <c r="F30" s="31"/>
      <c r="G30" s="75"/>
      <c r="K30" s="94"/>
    </row>
    <row r="31" spans="2:12" ht="15.95" customHeight="1" x14ac:dyDescent="0.15">
      <c r="B31" s="828"/>
      <c r="C31" s="786"/>
      <c r="D31" s="786"/>
      <c r="E31" s="787"/>
      <c r="F31" s="31"/>
      <c r="G31" s="75"/>
      <c r="K31" s="94"/>
    </row>
    <row r="32" spans="2:12" ht="15.95" customHeight="1" x14ac:dyDescent="0.15">
      <c r="B32" s="828"/>
      <c r="C32" s="786"/>
      <c r="D32" s="786"/>
      <c r="E32" s="787"/>
      <c r="F32" s="31"/>
      <c r="G32" s="75"/>
      <c r="K32" s="94"/>
    </row>
    <row r="33" spans="2:21" ht="15.95" customHeight="1" x14ac:dyDescent="0.15">
      <c r="B33" s="95" t="str">
        <f>CONCATENATE("  * T - ",D35," × ",D36," × ",D37," / ",D38)</f>
        <v xml:space="preserve">  * T - 150 × 60 × 10 / 10</v>
      </c>
      <c r="E33" s="94"/>
      <c r="F33" s="31"/>
      <c r="G33" s="75"/>
      <c r="K33" s="94"/>
    </row>
    <row r="34" spans="2:21" ht="15.95" customHeight="1" x14ac:dyDescent="0.15">
      <c r="B34" s="75"/>
      <c r="E34" s="94"/>
      <c r="F34" s="31"/>
      <c r="G34" s="75"/>
      <c r="K34" s="94"/>
    </row>
    <row r="35" spans="2:21" ht="15.95" customHeight="1" x14ac:dyDescent="0.15">
      <c r="B35" s="55" t="s">
        <v>117</v>
      </c>
      <c r="C35" s="4" t="s">
        <v>4</v>
      </c>
      <c r="D35" s="688">
        <v>150</v>
      </c>
      <c r="E35" s="70" t="s">
        <v>600</v>
      </c>
      <c r="F35" s="31"/>
      <c r="G35" s="75"/>
      <c r="K35" s="94"/>
    </row>
    <row r="36" spans="2:21" ht="15.95" customHeight="1" x14ac:dyDescent="0.15">
      <c r="B36" s="55" t="s">
        <v>57</v>
      </c>
      <c r="C36" s="4" t="s">
        <v>4</v>
      </c>
      <c r="D36" s="688">
        <v>60</v>
      </c>
      <c r="E36" s="70" t="s">
        <v>600</v>
      </c>
      <c r="F36" s="31"/>
      <c r="G36" s="75"/>
      <c r="K36" s="94"/>
    </row>
    <row r="37" spans="2:21" ht="15.95" customHeight="1" x14ac:dyDescent="0.15">
      <c r="B37" s="55" t="s">
        <v>118</v>
      </c>
      <c r="C37" s="4" t="s">
        <v>4</v>
      </c>
      <c r="D37" s="688">
        <v>10</v>
      </c>
      <c r="E37" s="70" t="s">
        <v>600</v>
      </c>
      <c r="F37" s="31"/>
      <c r="G37" s="75"/>
      <c r="K37" s="94"/>
    </row>
    <row r="38" spans="2:21" ht="15.95" customHeight="1" x14ac:dyDescent="0.15">
      <c r="B38" s="55" t="s">
        <v>119</v>
      </c>
      <c r="C38" s="4" t="s">
        <v>4</v>
      </c>
      <c r="D38" s="688">
        <v>10</v>
      </c>
      <c r="E38" s="70" t="s">
        <v>600</v>
      </c>
      <c r="F38" s="31"/>
      <c r="G38" s="75"/>
      <c r="K38" s="94"/>
    </row>
    <row r="39" spans="2:21" ht="15.95" customHeight="1" x14ac:dyDescent="0.15">
      <c r="B39" s="55" t="s">
        <v>120</v>
      </c>
      <c r="C39" s="4" t="s">
        <v>4</v>
      </c>
      <c r="D39" s="7">
        <f>D41-D38</f>
        <v>47.5</v>
      </c>
      <c r="E39" s="70" t="s">
        <v>600</v>
      </c>
      <c r="F39" s="31"/>
      <c r="G39" s="75"/>
      <c r="K39" s="94"/>
      <c r="L39" s="65"/>
    </row>
    <row r="40" spans="2:21" ht="15.95" customHeight="1" x14ac:dyDescent="0.15">
      <c r="B40" s="55" t="s">
        <v>121</v>
      </c>
      <c r="C40" s="4" t="s">
        <v>4</v>
      </c>
      <c r="D40" s="7">
        <f>D36-D37</f>
        <v>50</v>
      </c>
      <c r="E40" s="70" t="s">
        <v>600</v>
      </c>
      <c r="F40" s="31"/>
      <c r="G40" s="75"/>
      <c r="K40" s="94"/>
      <c r="L40" s="65"/>
      <c r="M40" s="65"/>
      <c r="N40" s="96" t="s">
        <v>127</v>
      </c>
      <c r="O40" s="15" t="s">
        <v>4</v>
      </c>
      <c r="P40" s="97">
        <f>D35*D37+D40*D38</f>
        <v>2000</v>
      </c>
      <c r="Q40" s="98" t="s">
        <v>608</v>
      </c>
      <c r="U40" s="28"/>
    </row>
    <row r="41" spans="2:21" ht="15.95" customHeight="1" x14ac:dyDescent="0.15">
      <c r="B41" s="55" t="s">
        <v>410</v>
      </c>
      <c r="C41" s="4" t="s">
        <v>4</v>
      </c>
      <c r="D41" s="7">
        <f>(D37*D35^2+D40*D38^2)/(2*(D37*D35+D40*D38))</f>
        <v>57.5</v>
      </c>
      <c r="E41" s="70" t="s">
        <v>600</v>
      </c>
      <c r="F41" s="31"/>
      <c r="G41" s="75"/>
      <c r="K41" s="94"/>
      <c r="L41" s="65"/>
      <c r="M41" s="65"/>
      <c r="N41" s="96" t="s">
        <v>125</v>
      </c>
      <c r="O41" s="15" t="s">
        <v>4</v>
      </c>
      <c r="P41" s="104" t="s">
        <v>415</v>
      </c>
      <c r="Q41" s="98"/>
      <c r="U41" s="28"/>
    </row>
    <row r="42" spans="2:21" ht="15.95" customHeight="1" x14ac:dyDescent="0.15">
      <c r="B42" s="55" t="s">
        <v>411</v>
      </c>
      <c r="C42" s="4" t="s">
        <v>4</v>
      </c>
      <c r="D42" s="7">
        <f>D35-D41</f>
        <v>92.5</v>
      </c>
      <c r="E42" s="70" t="s">
        <v>600</v>
      </c>
      <c r="F42" s="31"/>
      <c r="G42" s="75"/>
      <c r="K42" s="94"/>
      <c r="L42" s="65"/>
      <c r="M42" s="65"/>
      <c r="N42" s="100"/>
      <c r="O42" s="15" t="s">
        <v>4</v>
      </c>
      <c r="P42" s="101">
        <f>(D35-D38)/D37</f>
        <v>14</v>
      </c>
      <c r="Q42" s="98"/>
      <c r="U42" s="28"/>
    </row>
    <row r="43" spans="2:21" ht="15.95" customHeight="1" x14ac:dyDescent="0.15">
      <c r="B43" s="55" t="s">
        <v>6</v>
      </c>
      <c r="C43" s="4" t="s">
        <v>4</v>
      </c>
      <c r="D43" s="151">
        <f>(D36*D41^3-D40*D39^3+D37*D42^3)/3</f>
        <v>4654166.666666667</v>
      </c>
      <c r="E43" s="70" t="s">
        <v>604</v>
      </c>
      <c r="F43" s="31"/>
      <c r="G43" s="75"/>
      <c r="K43" s="94"/>
      <c r="L43" s="65"/>
      <c r="M43" s="65"/>
      <c r="N43" s="96" t="s">
        <v>126</v>
      </c>
      <c r="O43" s="15" t="s">
        <v>4</v>
      </c>
      <c r="P43" s="104" t="s">
        <v>416</v>
      </c>
      <c r="Q43" s="98"/>
      <c r="U43" s="28"/>
    </row>
    <row r="44" spans="2:21" ht="15.95" customHeight="1" thickBot="1" x14ac:dyDescent="0.2">
      <c r="B44" s="71" t="s">
        <v>46</v>
      </c>
      <c r="C44" s="17" t="s">
        <v>4</v>
      </c>
      <c r="D44" s="158">
        <f>D43/(D42)</f>
        <v>50315.315315315318</v>
      </c>
      <c r="E44" s="72" t="s">
        <v>605</v>
      </c>
      <c r="F44" s="31"/>
      <c r="G44" s="78"/>
      <c r="H44" s="77"/>
      <c r="I44" s="77"/>
      <c r="J44" s="77"/>
      <c r="K44" s="124"/>
      <c r="L44" s="65"/>
      <c r="M44" s="65"/>
      <c r="N44" s="100"/>
      <c r="O44" s="15" t="s">
        <v>4</v>
      </c>
      <c r="P44" s="101">
        <f>(D40/2)/D38</f>
        <v>2.5</v>
      </c>
      <c r="Q44" s="98"/>
      <c r="U44" s="28"/>
    </row>
    <row r="45" spans="2:21" ht="15.95" customHeight="1" x14ac:dyDescent="0.15">
      <c r="B45" s="31"/>
      <c r="C45" s="31"/>
      <c r="D45" s="31"/>
      <c r="E45" s="31"/>
      <c r="F45" s="31"/>
      <c r="L45" s="65"/>
      <c r="U45" s="28"/>
    </row>
    <row r="46" spans="2:21" ht="15.95" customHeight="1" x14ac:dyDescent="0.15">
      <c r="B46" s="796" t="s">
        <v>1217</v>
      </c>
      <c r="C46" s="796"/>
      <c r="D46" s="796"/>
      <c r="E46" s="796"/>
      <c r="F46" s="796"/>
      <c r="G46" s="796"/>
      <c r="H46" s="796"/>
      <c r="I46" s="796"/>
      <c r="J46" s="796"/>
      <c r="K46" s="796"/>
      <c r="L46" s="65"/>
    </row>
    <row r="47" spans="2:21" s="31" customFormat="1" ht="15.95" hidden="1" customHeight="1" x14ac:dyDescent="0.15">
      <c r="B47" s="61" t="s">
        <v>128</v>
      </c>
    </row>
    <row r="48" spans="2:21" s="31" customFormat="1" ht="15.95" hidden="1" customHeight="1" x14ac:dyDescent="0.15"/>
    <row r="49" spans="1:9" s="31" customFormat="1" ht="15.95" hidden="1" customHeight="1" x14ac:dyDescent="0.15">
      <c r="B49" s="30"/>
    </row>
    <row r="50" spans="1:9" s="31" customFormat="1" ht="15.95" hidden="1" customHeight="1" x14ac:dyDescent="0.15">
      <c r="A50" s="32"/>
    </row>
    <row r="51" spans="1:9" s="31" customFormat="1" ht="15.95" hidden="1" customHeight="1" x14ac:dyDescent="0.15">
      <c r="A51" s="32"/>
    </row>
    <row r="52" spans="1:9" s="31" customFormat="1" ht="15.95" hidden="1" customHeight="1" x14ac:dyDescent="0.15">
      <c r="A52" s="32"/>
    </row>
    <row r="53" spans="1:9" s="31" customFormat="1" ht="15.95" hidden="1" customHeight="1" x14ac:dyDescent="0.15">
      <c r="A53" s="32"/>
    </row>
    <row r="54" spans="1:9" s="31" customFormat="1" ht="15.95" hidden="1" customHeight="1" x14ac:dyDescent="0.15">
      <c r="A54" s="32"/>
    </row>
    <row r="55" spans="1:9" s="31" customFormat="1" ht="15.95" hidden="1" customHeight="1" x14ac:dyDescent="0.15">
      <c r="A55" s="32"/>
    </row>
    <row r="56" spans="1:9" s="31" customFormat="1" ht="15.95" hidden="1" customHeight="1" x14ac:dyDescent="0.15">
      <c r="A56" s="32"/>
    </row>
    <row r="57" spans="1:9" s="31" customFormat="1" ht="15.95" hidden="1" customHeight="1" x14ac:dyDescent="0.15">
      <c r="A57" s="32"/>
    </row>
    <row r="58" spans="1:9" s="31" customFormat="1" ht="15.95" hidden="1" customHeight="1" x14ac:dyDescent="0.15">
      <c r="A58" s="32"/>
      <c r="D58" s="20"/>
    </row>
    <row r="59" spans="1:9" s="31" customFormat="1" ht="15.95" hidden="1" customHeight="1" x14ac:dyDescent="0.15">
      <c r="B59" s="8" t="s">
        <v>135</v>
      </c>
    </row>
    <row r="60" spans="1:9" s="31" customFormat="1" ht="15.95" hidden="1" customHeight="1" x14ac:dyDescent="0.15"/>
    <row r="61" spans="1:9" s="31" customFormat="1" ht="15.95" hidden="1" customHeight="1" x14ac:dyDescent="0.15">
      <c r="B61" s="20" t="s">
        <v>7</v>
      </c>
      <c r="C61" s="4" t="s">
        <v>4</v>
      </c>
      <c r="D61" s="20" t="s">
        <v>419</v>
      </c>
    </row>
    <row r="62" spans="1:9" s="31" customFormat="1" ht="15.95" hidden="1" customHeight="1" x14ac:dyDescent="0.15">
      <c r="B62" s="82" t="s">
        <v>8</v>
      </c>
      <c r="C62" s="4" t="s">
        <v>4</v>
      </c>
      <c r="D62" s="20" t="s">
        <v>420</v>
      </c>
      <c r="G62" s="4"/>
      <c r="H62" s="20"/>
    </row>
    <row r="63" spans="1:9" s="31" customFormat="1" ht="15.95" hidden="1" customHeight="1" x14ac:dyDescent="0.15">
      <c r="B63" s="20" t="s">
        <v>129</v>
      </c>
      <c r="C63" s="4" t="s">
        <v>4</v>
      </c>
      <c r="D63" s="20" t="s">
        <v>421</v>
      </c>
      <c r="G63" s="4"/>
    </row>
    <row r="64" spans="1:9" s="31" customFormat="1" ht="15.95" hidden="1" customHeight="1" x14ac:dyDescent="0.15">
      <c r="B64" s="20" t="s">
        <v>130</v>
      </c>
      <c r="C64" s="4" t="s">
        <v>4</v>
      </c>
      <c r="D64" s="20" t="s">
        <v>422</v>
      </c>
      <c r="G64" s="4"/>
      <c r="H64" s="4"/>
      <c r="I64" s="20"/>
    </row>
    <row r="65" spans="1:13" s="31" customFormat="1" ht="15.95" hidden="1" customHeight="1" x14ac:dyDescent="0.15">
      <c r="B65" s="20" t="s">
        <v>418</v>
      </c>
      <c r="C65" s="4" t="s">
        <v>4</v>
      </c>
      <c r="D65" s="20" t="s">
        <v>428</v>
      </c>
      <c r="G65" s="4" t="s">
        <v>9</v>
      </c>
      <c r="H65" s="20" t="s">
        <v>146</v>
      </c>
    </row>
    <row r="66" spans="1:13" s="31" customFormat="1" ht="15.95" hidden="1" customHeight="1" x14ac:dyDescent="0.15">
      <c r="B66" s="20" t="s">
        <v>131</v>
      </c>
      <c r="C66" s="4" t="s">
        <v>4</v>
      </c>
      <c r="D66" s="20" t="s">
        <v>423</v>
      </c>
      <c r="F66" s="32"/>
      <c r="G66" s="4" t="s">
        <v>9</v>
      </c>
      <c r="H66" s="20" t="s">
        <v>147</v>
      </c>
    </row>
    <row r="67" spans="1:13" s="31" customFormat="1" ht="15.95" hidden="1" customHeight="1" x14ac:dyDescent="0.15">
      <c r="B67" s="62" t="s">
        <v>165</v>
      </c>
      <c r="C67" s="4" t="s">
        <v>4</v>
      </c>
      <c r="D67" s="20" t="s">
        <v>429</v>
      </c>
      <c r="F67" s="32"/>
      <c r="H67" s="20" t="s">
        <v>148</v>
      </c>
    </row>
    <row r="68" spans="1:13" s="31" customFormat="1" ht="15.95" hidden="1" customHeight="1" x14ac:dyDescent="0.15"/>
    <row r="69" spans="1:13" s="31" customFormat="1" ht="15.95" hidden="1" customHeight="1" x14ac:dyDescent="0.15">
      <c r="A69" s="32"/>
      <c r="B69" s="8" t="s">
        <v>136</v>
      </c>
    </row>
    <row r="70" spans="1:13" s="31" customFormat="1" ht="15.95" hidden="1" customHeight="1" x14ac:dyDescent="0.15">
      <c r="H70" s="20"/>
    </row>
    <row r="71" spans="1:13" s="31" customFormat="1" ht="15.95" hidden="1" customHeight="1" x14ac:dyDescent="0.15">
      <c r="B71" s="62" t="s">
        <v>424</v>
      </c>
      <c r="C71" s="21" t="s">
        <v>4</v>
      </c>
      <c r="D71" s="63">
        <f>ABS(D5/1000*(D7+D8)/2)</f>
        <v>0</v>
      </c>
      <c r="E71" s="8" t="s">
        <v>581</v>
      </c>
      <c r="F71" s="8"/>
      <c r="G71" s="4" t="s">
        <v>9</v>
      </c>
      <c r="H71" s="20" t="s">
        <v>430</v>
      </c>
    </row>
    <row r="72" spans="1:13" s="31" customFormat="1" ht="15.95" hidden="1" customHeight="1" x14ac:dyDescent="0.15">
      <c r="B72" s="62" t="s">
        <v>425</v>
      </c>
      <c r="C72" s="21" t="s">
        <v>4</v>
      </c>
      <c r="D72" s="63">
        <f>D71</f>
        <v>0</v>
      </c>
      <c r="E72" s="8" t="s">
        <v>581</v>
      </c>
      <c r="F72" s="8"/>
      <c r="G72" s="4" t="s">
        <v>9</v>
      </c>
      <c r="H72" s="20" t="s">
        <v>430</v>
      </c>
      <c r="M72" s="20"/>
    </row>
    <row r="73" spans="1:13" s="31" customFormat="1" ht="15.95" hidden="1" customHeight="1" x14ac:dyDescent="0.15">
      <c r="B73" s="82" t="s">
        <v>426</v>
      </c>
      <c r="C73" s="21" t="s">
        <v>4</v>
      </c>
      <c r="D73" s="147">
        <f>D9</f>
        <v>1000</v>
      </c>
      <c r="E73" s="27" t="s">
        <v>562</v>
      </c>
      <c r="F73" s="8"/>
      <c r="G73" s="4" t="s">
        <v>9</v>
      </c>
      <c r="H73" s="20" t="s">
        <v>450</v>
      </c>
      <c r="M73" s="20"/>
    </row>
    <row r="74" spans="1:13" s="31" customFormat="1" ht="15.95" hidden="1" customHeight="1" x14ac:dyDescent="0.15">
      <c r="B74" s="82" t="s">
        <v>427</v>
      </c>
      <c r="C74" s="21" t="s">
        <v>4</v>
      </c>
      <c r="D74" s="147">
        <f>D10</f>
        <v>4000</v>
      </c>
      <c r="E74" s="27" t="s">
        <v>562</v>
      </c>
      <c r="F74" s="8"/>
      <c r="G74" s="4" t="s">
        <v>9</v>
      </c>
      <c r="H74" s="20" t="s">
        <v>451</v>
      </c>
      <c r="J74" s="36"/>
      <c r="K74" s="21"/>
      <c r="L74" s="59"/>
      <c r="M74" s="32"/>
    </row>
    <row r="75" spans="1:13" s="31" customFormat="1" ht="15.95" hidden="1" customHeight="1" x14ac:dyDescent="0.15">
      <c r="B75" s="20" t="s">
        <v>7</v>
      </c>
      <c r="C75" s="21" t="s">
        <v>4</v>
      </c>
      <c r="D75" s="147">
        <f>D71*D9+D72*D10</f>
        <v>0</v>
      </c>
      <c r="E75" s="8" t="s">
        <v>599</v>
      </c>
      <c r="F75" s="8"/>
      <c r="G75" s="4"/>
      <c r="H75" s="20"/>
    </row>
    <row r="76" spans="1:13" s="31" customFormat="1" ht="15.95" hidden="1" customHeight="1" x14ac:dyDescent="0.15">
      <c r="B76" s="20" t="s">
        <v>8</v>
      </c>
      <c r="C76" s="21" t="s">
        <v>4</v>
      </c>
      <c r="D76" s="18">
        <f>(D78*D73)/(D78*D74)</f>
        <v>0.25</v>
      </c>
      <c r="E76" s="8"/>
      <c r="F76" s="8"/>
      <c r="G76" s="4"/>
    </row>
    <row r="77" spans="1:13" s="31" customFormat="1" ht="15.95" hidden="1" customHeight="1" x14ac:dyDescent="0.15">
      <c r="B77" s="62" t="s">
        <v>5</v>
      </c>
      <c r="C77" s="21" t="s">
        <v>4</v>
      </c>
      <c r="D77" s="147">
        <f>D6</f>
        <v>210000</v>
      </c>
      <c r="E77" s="27" t="s">
        <v>561</v>
      </c>
      <c r="G77" s="4" t="s">
        <v>9</v>
      </c>
      <c r="H77" s="20" t="s">
        <v>140</v>
      </c>
    </row>
    <row r="78" spans="1:13" s="31" customFormat="1" ht="15.95" hidden="1" customHeight="1" x14ac:dyDescent="0.15">
      <c r="B78" s="62" t="s">
        <v>597</v>
      </c>
      <c r="C78" s="21" t="s">
        <v>4</v>
      </c>
      <c r="D78" s="147">
        <f>D43</f>
        <v>4654166.666666667</v>
      </c>
      <c r="E78" s="8" t="s">
        <v>598</v>
      </c>
      <c r="G78" s="4" t="s">
        <v>9</v>
      </c>
      <c r="H78" s="20" t="s">
        <v>141</v>
      </c>
    </row>
    <row r="79" spans="1:13" s="31" customFormat="1" ht="15.95" hidden="1" customHeight="1" x14ac:dyDescent="0.15">
      <c r="F79" s="31" t="s">
        <v>0</v>
      </c>
    </row>
    <row r="80" spans="1:13" s="31" customFormat="1" ht="15.95" hidden="1" customHeight="1" x14ac:dyDescent="0.15">
      <c r="A80" s="107"/>
      <c r="B80" s="8" t="s">
        <v>149</v>
      </c>
    </row>
    <row r="81" spans="1:21" s="31" customFormat="1" ht="15.95" hidden="1" customHeight="1" x14ac:dyDescent="0.15"/>
    <row r="82" spans="1:21" s="31" customFormat="1" ht="15.95" hidden="1" customHeight="1" x14ac:dyDescent="0.15">
      <c r="A82" s="31" t="s">
        <v>1</v>
      </c>
      <c r="B82" s="20" t="s">
        <v>129</v>
      </c>
      <c r="C82" s="21" t="s">
        <v>4</v>
      </c>
      <c r="D82" s="20" t="s">
        <v>421</v>
      </c>
      <c r="H82" s="30"/>
    </row>
    <row r="83" spans="1:21" s="31" customFormat="1" ht="15.95" hidden="1" customHeight="1" x14ac:dyDescent="0.15">
      <c r="B83" s="32"/>
      <c r="C83" s="21" t="s">
        <v>4</v>
      </c>
      <c r="D83" s="147">
        <f>(D71*D73)/2-(D76*D71*D73^2+D72*D74^2)/(8*(1+D76)*D73)</f>
        <v>0</v>
      </c>
      <c r="E83" s="8" t="s">
        <v>599</v>
      </c>
    </row>
    <row r="84" spans="1:21" s="31" customFormat="1" ht="15.95" hidden="1" customHeight="1" x14ac:dyDescent="0.15">
      <c r="B84" s="20" t="s">
        <v>130</v>
      </c>
      <c r="C84" s="21" t="s">
        <v>4</v>
      </c>
      <c r="D84" s="20" t="s">
        <v>422</v>
      </c>
      <c r="H84" s="30"/>
    </row>
    <row r="85" spans="1:21" s="31" customFormat="1" ht="15.95" hidden="1" customHeight="1" x14ac:dyDescent="0.15">
      <c r="B85" s="32"/>
      <c r="C85" s="21" t="s">
        <v>4</v>
      </c>
      <c r="D85" s="147">
        <f>(D72*D74)/2-(D76*D71*D73^2+D72*D74^2)/(8*(1+D76)*D74)</f>
        <v>0</v>
      </c>
      <c r="E85" s="8" t="s">
        <v>599</v>
      </c>
    </row>
    <row r="86" spans="1:21" s="31" customFormat="1" ht="15.95" hidden="1" customHeight="1" x14ac:dyDescent="0.15">
      <c r="B86" s="20" t="s">
        <v>418</v>
      </c>
      <c r="C86" s="21" t="s">
        <v>4</v>
      </c>
      <c r="D86" s="20" t="s">
        <v>428</v>
      </c>
      <c r="H86" s="30"/>
    </row>
    <row r="87" spans="1:21" s="31" customFormat="1" ht="15.95" hidden="1" customHeight="1" x14ac:dyDescent="0.15">
      <c r="B87" s="32"/>
      <c r="C87" s="21" t="s">
        <v>4</v>
      </c>
      <c r="D87" s="147">
        <f>D75-D83-D85</f>
        <v>0</v>
      </c>
      <c r="E87" s="8" t="s">
        <v>599</v>
      </c>
      <c r="J87" s="27"/>
    </row>
    <row r="88" spans="1:21" s="31" customFormat="1" ht="15.95" hidden="1" customHeight="1" x14ac:dyDescent="0.15">
      <c r="B88" s="20" t="s">
        <v>131</v>
      </c>
      <c r="C88" s="21" t="s">
        <v>4</v>
      </c>
      <c r="D88" s="20" t="s">
        <v>423</v>
      </c>
      <c r="H88" s="30"/>
      <c r="J88" s="8"/>
      <c r="M88" s="2"/>
      <c r="N88" s="147"/>
      <c r="O88" s="27"/>
    </row>
    <row r="89" spans="1:21" s="31" customFormat="1" ht="15.95" hidden="1" customHeight="1" x14ac:dyDescent="0.15">
      <c r="C89" s="21" t="s">
        <v>4</v>
      </c>
      <c r="D89" s="147">
        <f>(D76*D71*D73^2+D72*D74^2)/(8*(1+D76))</f>
        <v>0</v>
      </c>
      <c r="E89" s="27" t="s">
        <v>601</v>
      </c>
      <c r="J89" s="8"/>
      <c r="M89" s="2"/>
      <c r="N89" s="414"/>
      <c r="O89" s="2"/>
    </row>
    <row r="90" spans="1:21" s="31" customFormat="1" ht="15.95" hidden="1" customHeight="1" x14ac:dyDescent="0.15">
      <c r="B90" s="62" t="s">
        <v>165</v>
      </c>
      <c r="C90" s="21" t="s">
        <v>4</v>
      </c>
      <c r="D90" s="20" t="s">
        <v>431</v>
      </c>
      <c r="H90" s="30"/>
      <c r="J90" s="27"/>
      <c r="M90" s="2"/>
      <c r="N90" s="412"/>
      <c r="O90" s="27"/>
    </row>
    <row r="91" spans="1:21" s="31" customFormat="1" ht="15.95" hidden="1" customHeight="1" x14ac:dyDescent="0.15">
      <c r="B91" s="108"/>
      <c r="C91" s="21" t="s">
        <v>4</v>
      </c>
      <c r="D91" s="63">
        <f>(5*D72*D74^4/(384*D77*D78))-(D89*D74^2/(16*D77*D78))</f>
        <v>0</v>
      </c>
      <c r="E91" s="27" t="s">
        <v>600</v>
      </c>
      <c r="M91" s="2"/>
      <c r="N91" s="414"/>
      <c r="O91" s="2"/>
    </row>
    <row r="92" spans="1:21" s="31" customFormat="1" ht="15.95" hidden="1" customHeight="1" x14ac:dyDescent="0.15">
      <c r="B92" s="108"/>
      <c r="C92" s="21"/>
    </row>
    <row r="93" spans="1:21" ht="15.95" hidden="1" customHeight="1" x14ac:dyDescent="0.15">
      <c r="B93" s="61" t="s">
        <v>189</v>
      </c>
    </row>
    <row r="94" spans="1:21" ht="15.95" hidden="1" customHeight="1" x14ac:dyDescent="0.15">
      <c r="B94" s="61"/>
      <c r="D94" s="22"/>
      <c r="O94" s="102"/>
      <c r="Q94" s="102"/>
      <c r="S94" s="102"/>
      <c r="U94" s="102"/>
    </row>
    <row r="95" spans="1:21" ht="15.95" hidden="1" customHeight="1" x14ac:dyDescent="0.15">
      <c r="B95" s="20" t="s">
        <v>109</v>
      </c>
      <c r="C95" s="4" t="s">
        <v>4</v>
      </c>
      <c r="D95" s="147">
        <f>D14</f>
        <v>0</v>
      </c>
      <c r="E95" s="2" t="s">
        <v>602</v>
      </c>
      <c r="G95" s="4" t="s">
        <v>9</v>
      </c>
      <c r="H95" s="20" t="s">
        <v>182</v>
      </c>
    </row>
    <row r="96" spans="1:21" ht="15.95" hidden="1" customHeight="1" x14ac:dyDescent="0.15">
      <c r="B96" s="19"/>
    </row>
    <row r="97" spans="2:15" ht="15.95" hidden="1" customHeight="1" x14ac:dyDescent="0.15">
      <c r="B97" s="20" t="s">
        <v>179</v>
      </c>
      <c r="C97" s="4" t="s">
        <v>4</v>
      </c>
      <c r="D97" s="147">
        <f>D44</f>
        <v>50315.315315315318</v>
      </c>
      <c r="E97" s="2" t="s">
        <v>606</v>
      </c>
      <c r="G97" s="4" t="s">
        <v>9</v>
      </c>
      <c r="H97" s="20" t="s">
        <v>183</v>
      </c>
    </row>
    <row r="98" spans="2:15" ht="15.95" hidden="1" customHeight="1" x14ac:dyDescent="0.15">
      <c r="C98" s="4"/>
    </row>
    <row r="99" spans="2:15" ht="15.95" hidden="1" customHeight="1" x14ac:dyDescent="0.15">
      <c r="B99" s="19" t="s">
        <v>177</v>
      </c>
      <c r="D99" s="12"/>
    </row>
    <row r="100" spans="2:15" ht="15.95" hidden="1" customHeight="1" x14ac:dyDescent="0.15"/>
    <row r="101" spans="2:15" ht="15.95" hidden="1" customHeight="1" x14ac:dyDescent="0.15">
      <c r="B101" s="20" t="s">
        <v>180</v>
      </c>
      <c r="C101" s="4" t="s">
        <v>4</v>
      </c>
      <c r="D101" s="20" t="s">
        <v>625</v>
      </c>
    </row>
    <row r="102" spans="2:15" ht="15.95" hidden="1" customHeight="1" x14ac:dyDescent="0.15">
      <c r="C102" s="4" t="s">
        <v>4</v>
      </c>
      <c r="D102" s="13">
        <f>0.85*D95/D97</f>
        <v>0</v>
      </c>
      <c r="E102" s="13" t="s">
        <v>561</v>
      </c>
    </row>
    <row r="103" spans="2:15" ht="15.95" hidden="1" customHeight="1" x14ac:dyDescent="0.15"/>
    <row r="104" spans="2:15" ht="15.95" hidden="1" customHeight="1" x14ac:dyDescent="0.15">
      <c r="B104" s="19" t="s">
        <v>178</v>
      </c>
      <c r="E104" s="8" t="str">
        <f>IF(N114=1,"","( Short Term Load )")</f>
        <v/>
      </c>
    </row>
    <row r="105" spans="2:15" ht="15.95" hidden="1" customHeight="1" x14ac:dyDescent="0.15">
      <c r="B105" s="19"/>
      <c r="G105" s="4"/>
      <c r="H105" s="20"/>
      <c r="M105" s="432">
        <f>M1</f>
        <v>1</v>
      </c>
      <c r="N105" s="2"/>
      <c r="O105" s="31"/>
    </row>
    <row r="106" spans="2:15" ht="15.95" hidden="1" customHeight="1" x14ac:dyDescent="0.15">
      <c r="B106" s="20" t="s">
        <v>185</v>
      </c>
      <c r="C106" s="4" t="s">
        <v>4</v>
      </c>
      <c r="D106" s="13">
        <f>IF(M105=M106,N106,N107)</f>
        <v>275</v>
      </c>
      <c r="E106" s="13" t="s">
        <v>561</v>
      </c>
      <c r="G106" s="4" t="s">
        <v>9</v>
      </c>
      <c r="H106" s="20" t="str">
        <f>IF(M105=M106,O106,O107)</f>
        <v>SS 275  Yield Strength</v>
      </c>
      <c r="I106" s="2"/>
      <c r="M106" s="430">
        <v>1</v>
      </c>
      <c r="N106" s="431">
        <v>275</v>
      </c>
      <c r="O106" s="429" t="s">
        <v>842</v>
      </c>
    </row>
    <row r="107" spans="2:15" ht="15.95" hidden="1" customHeight="1" x14ac:dyDescent="0.15">
      <c r="B107" s="20"/>
      <c r="C107" s="4"/>
      <c r="G107" s="4"/>
      <c r="H107" s="20"/>
      <c r="M107" s="430">
        <v>2</v>
      </c>
      <c r="N107" s="431">
        <v>205</v>
      </c>
      <c r="O107" s="429" t="s">
        <v>1081</v>
      </c>
    </row>
    <row r="108" spans="2:15" ht="15.95" hidden="1" customHeight="1" x14ac:dyDescent="0.15">
      <c r="B108" s="20" t="s">
        <v>354</v>
      </c>
      <c r="C108" s="4" t="s">
        <v>4</v>
      </c>
      <c r="D108" s="64" t="s">
        <v>843</v>
      </c>
    </row>
    <row r="109" spans="2:15" ht="15.95" hidden="1" customHeight="1" x14ac:dyDescent="0.15">
      <c r="B109" s="22"/>
      <c r="C109" s="4" t="s">
        <v>4</v>
      </c>
      <c r="D109" s="13">
        <f>0.66*D106</f>
        <v>181.5</v>
      </c>
      <c r="E109" s="13" t="s">
        <v>561</v>
      </c>
    </row>
    <row r="110" spans="2:15" ht="15.95" hidden="1" customHeight="1" x14ac:dyDescent="0.15"/>
    <row r="111" spans="2:15" ht="15.95" hidden="1" customHeight="1" x14ac:dyDescent="0.15">
      <c r="B111" s="20" t="s">
        <v>365</v>
      </c>
      <c r="C111" s="4" t="s">
        <v>4</v>
      </c>
      <c r="D111" s="105" t="s">
        <v>1094</v>
      </c>
      <c r="G111" s="4" t="s">
        <v>9</v>
      </c>
      <c r="H111" s="62" t="s">
        <v>413</v>
      </c>
      <c r="I111" s="4" t="s">
        <v>4</v>
      </c>
      <c r="J111" s="106">
        <f>D11</f>
        <v>2600</v>
      </c>
      <c r="K111" s="8" t="s">
        <v>609</v>
      </c>
    </row>
    <row r="112" spans="2:15" ht="15.95" hidden="1" customHeight="1" x14ac:dyDescent="0.15">
      <c r="B112" s="22"/>
      <c r="C112" s="4" t="s">
        <v>4</v>
      </c>
      <c r="D112" s="13">
        <f>90000/(J111*J112/J113)</f>
        <v>57.692307692307693</v>
      </c>
      <c r="E112" s="13" t="s">
        <v>561</v>
      </c>
      <c r="H112" s="62" t="s">
        <v>117</v>
      </c>
      <c r="I112" s="4" t="s">
        <v>4</v>
      </c>
      <c r="J112" s="106">
        <f>D35</f>
        <v>150</v>
      </c>
      <c r="K112" s="8" t="s">
        <v>609</v>
      </c>
    </row>
    <row r="113" spans="2:14" ht="15.95" hidden="1" customHeight="1" thickBot="1" x14ac:dyDescent="0.2">
      <c r="H113" s="62" t="s">
        <v>414</v>
      </c>
      <c r="I113" s="4" t="s">
        <v>4</v>
      </c>
      <c r="J113" s="106">
        <f>J112/6*D37</f>
        <v>250</v>
      </c>
      <c r="K113" s="8" t="s">
        <v>608</v>
      </c>
      <c r="N113" s="21" t="s">
        <v>186</v>
      </c>
    </row>
    <row r="114" spans="2:14" ht="15.95" hidden="1" customHeight="1" thickBot="1" x14ac:dyDescent="0.2">
      <c r="B114" s="20" t="s">
        <v>184</v>
      </c>
      <c r="C114" s="4" t="s">
        <v>4</v>
      </c>
      <c r="D114" s="105" t="s">
        <v>417</v>
      </c>
      <c r="F114" s="20" t="str">
        <f>IF(N114=1,"","×  1.33")</f>
        <v/>
      </c>
      <c r="I114" s="4"/>
      <c r="N114" s="90">
        <v>1</v>
      </c>
    </row>
    <row r="115" spans="2:14" ht="15.95" hidden="1" customHeight="1" x14ac:dyDescent="0.15">
      <c r="C115" s="4" t="s">
        <v>4</v>
      </c>
      <c r="D115" s="13">
        <f>MIN(D109,D112)*N114</f>
        <v>57.692307692307693</v>
      </c>
      <c r="E115" s="13" t="s">
        <v>561</v>
      </c>
      <c r="I115" s="4"/>
    </row>
    <row r="116" spans="2:14" ht="15.95" hidden="1" customHeight="1" x14ac:dyDescent="0.15"/>
    <row r="117" spans="2:14" ht="15.95" hidden="1" customHeight="1" x14ac:dyDescent="0.15">
      <c r="B117" s="19" t="s">
        <v>187</v>
      </c>
    </row>
    <row r="118" spans="2:14" ht="15.95" hidden="1" customHeight="1" x14ac:dyDescent="0.15">
      <c r="B118" s="19"/>
    </row>
    <row r="119" spans="2:14" ht="15.95" hidden="1" customHeight="1" x14ac:dyDescent="0.15">
      <c r="B119" s="20" t="s">
        <v>188</v>
      </c>
      <c r="C119" s="4" t="s">
        <v>4</v>
      </c>
      <c r="D119" s="22">
        <f>D102/D115</f>
        <v>0</v>
      </c>
      <c r="E119" s="23" t="str">
        <f>IF(D119&gt;F119,"&gt;","&lt;")</f>
        <v>&lt;</v>
      </c>
      <c r="F119" s="3">
        <v>1</v>
      </c>
      <c r="G119" s="91" t="str">
        <f>IF(D119&lt;F119,"O.K.","N.G.")</f>
        <v>O.K.</v>
      </c>
    </row>
    <row r="120" spans="2:14" ht="15.95" hidden="1" customHeight="1" x14ac:dyDescent="0.15">
      <c r="B120" s="20"/>
      <c r="C120" s="4"/>
      <c r="D120" s="22"/>
      <c r="E120" s="23"/>
      <c r="F120" s="3"/>
    </row>
    <row r="121" spans="2:14" ht="15.95" hidden="1" customHeight="1" x14ac:dyDescent="0.15">
      <c r="B121" s="20"/>
      <c r="C121" s="4"/>
      <c r="D121" s="22"/>
      <c r="E121" s="23"/>
      <c r="F121" s="3"/>
    </row>
    <row r="122" spans="2:14" ht="15.95" hidden="1" customHeight="1" x14ac:dyDescent="0.15">
      <c r="B122" s="24" t="s">
        <v>190</v>
      </c>
    </row>
    <row r="123" spans="2:14" ht="15.95" hidden="1" customHeight="1" x14ac:dyDescent="0.15"/>
    <row r="124" spans="2:14" ht="15.95" hidden="1" customHeight="1" x14ac:dyDescent="0.15">
      <c r="B124" s="19" t="s">
        <v>192</v>
      </c>
    </row>
    <row r="125" spans="2:14" ht="15.95" hidden="1" customHeight="1" x14ac:dyDescent="0.15">
      <c r="B125" s="19"/>
    </row>
    <row r="126" spans="2:14" ht="15.95" hidden="1" customHeight="1" x14ac:dyDescent="0.15">
      <c r="B126" s="62" t="s">
        <v>165</v>
      </c>
      <c r="C126" s="4" t="s">
        <v>4</v>
      </c>
      <c r="D126" s="8">
        <f>D16</f>
        <v>0</v>
      </c>
      <c r="E126" s="13" t="s">
        <v>583</v>
      </c>
    </row>
    <row r="127" spans="2:14" ht="15.95" hidden="1" customHeight="1" x14ac:dyDescent="0.15"/>
    <row r="128" spans="2:14" ht="15.95" hidden="1" customHeight="1" x14ac:dyDescent="0.15"/>
    <row r="129" spans="1:21" ht="15.95" hidden="1" customHeight="1" x14ac:dyDescent="0.15">
      <c r="B129" s="19" t="s">
        <v>191</v>
      </c>
      <c r="E129" s="26" t="s">
        <v>195</v>
      </c>
    </row>
    <row r="130" spans="1:21" ht="15.95" hidden="1" customHeight="1" x14ac:dyDescent="0.15">
      <c r="B130" s="19"/>
    </row>
    <row r="131" spans="1:21" ht="15.95" hidden="1" customHeight="1" x14ac:dyDescent="0.15">
      <c r="B131" s="62" t="s">
        <v>2</v>
      </c>
      <c r="C131" s="4" t="s">
        <v>4</v>
      </c>
      <c r="D131" s="142">
        <f>D10</f>
        <v>4000</v>
      </c>
      <c r="E131" s="8" t="str">
        <f>IF(D131&gt;4110,"mm      &gt;     4110 mm","mm     ≤     4110 mm")</f>
        <v>mm     ≤     4110 mm</v>
      </c>
      <c r="M131" s="27" t="s">
        <v>196</v>
      </c>
      <c r="N131" s="25">
        <f>D131/240+6.35</f>
        <v>23.016666666666666</v>
      </c>
    </row>
    <row r="132" spans="1:21" ht="15.95" hidden="1" customHeight="1" x14ac:dyDescent="0.15">
      <c r="B132" s="62" t="s">
        <v>193</v>
      </c>
      <c r="C132" s="4" t="s">
        <v>4</v>
      </c>
      <c r="D132" s="152">
        <f>D131</f>
        <v>4000</v>
      </c>
      <c r="E132" s="19" t="str">
        <f>IF(D131&lt;4110,"mm      /     175","mm      /      240 + 6.35 mm ")</f>
        <v>mm      /     175</v>
      </c>
      <c r="M132" s="27" t="s">
        <v>197</v>
      </c>
      <c r="N132" s="25">
        <f>D131/175</f>
        <v>22.857142857142858</v>
      </c>
    </row>
    <row r="133" spans="1:21" ht="15.95" hidden="1" customHeight="1" x14ac:dyDescent="0.15">
      <c r="B133" s="22"/>
      <c r="C133" s="4" t="s">
        <v>4</v>
      </c>
      <c r="D133" s="22">
        <f>IF(D131&gt;4110,N131,N132)</f>
        <v>22.857142857142858</v>
      </c>
      <c r="E133" s="8" t="s">
        <v>600</v>
      </c>
    </row>
    <row r="134" spans="1:21" ht="15.95" hidden="1" customHeight="1" x14ac:dyDescent="0.15"/>
    <row r="135" spans="1:21" ht="15.95" hidden="1" customHeight="1" x14ac:dyDescent="0.15"/>
    <row r="136" spans="1:21" ht="15.95" hidden="1" customHeight="1" x14ac:dyDescent="0.15">
      <c r="B136" s="19" t="s">
        <v>198</v>
      </c>
    </row>
    <row r="137" spans="1:21" s="4" customFormat="1" ht="15.95" hidden="1" customHeight="1" x14ac:dyDescent="0.15">
      <c r="A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O137" s="8"/>
      <c r="P137" s="8"/>
      <c r="Q137" s="8"/>
      <c r="R137" s="8"/>
      <c r="S137" s="8"/>
      <c r="T137" s="8"/>
      <c r="U137" s="8"/>
    </row>
    <row r="138" spans="1:21" s="4" customFormat="1" ht="15.95" hidden="1" customHeight="1" x14ac:dyDescent="0.15">
      <c r="A138" s="8"/>
      <c r="B138" s="20" t="s">
        <v>405</v>
      </c>
      <c r="C138" s="4" t="s">
        <v>4</v>
      </c>
      <c r="D138" s="22">
        <f>D126/(D133)</f>
        <v>0</v>
      </c>
      <c r="E138" s="23" t="str">
        <f>IF(D138&gt;F138,"&gt;","&lt;")</f>
        <v>&lt;</v>
      </c>
      <c r="F138" s="3">
        <v>1</v>
      </c>
      <c r="G138" s="91" t="str">
        <f>IF(D138&lt;F138,"O.K.","N.G.")</f>
        <v>O.K.</v>
      </c>
      <c r="I138" s="27"/>
      <c r="J138" s="27"/>
      <c r="K138" s="27"/>
      <c r="L138" s="27"/>
      <c r="M138" s="27"/>
      <c r="O138" s="8"/>
      <c r="P138" s="8"/>
      <c r="Q138" s="8"/>
      <c r="R138" s="8"/>
      <c r="S138" s="8"/>
      <c r="T138" s="8"/>
      <c r="U138" s="8"/>
    </row>
    <row r="139" spans="1:21" ht="15.95" hidden="1" customHeight="1" x14ac:dyDescent="0.15"/>
    <row r="140" spans="1:21" ht="15.95" hidden="1" customHeight="1" x14ac:dyDescent="0.15"/>
  </sheetData>
  <sheetProtection algorithmName="SHA-512" hashValue="XRqD4IlnX5xvSMow78cAnjQ/9LZHnO34SSpgBWpwxcmOVm1m1pG1/7lFA2gnWwKqabDoa/xLlC2GY/YnL6LQKA==" saltValue="uAqOcNrYZQic3IXpgX/PFA==" spinCount="100000" sheet="1" objects="1" scenarios="1" selectLockedCells="1"/>
  <protectedRanges>
    <protectedRange sqref="D11" name="범위1_2_1"/>
    <protectedRange sqref="D7:D10" name="범위1_2_2"/>
    <protectedRange sqref="D35:D38" name="범위1_1_1_1"/>
  </protectedRanges>
  <mergeCells count="5">
    <mergeCell ref="B22:E32"/>
    <mergeCell ref="M6:N6"/>
    <mergeCell ref="N12:N13"/>
    <mergeCell ref="O12:O13"/>
    <mergeCell ref="B46:K46"/>
  </mergeCells>
  <phoneticPr fontId="1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2BE0-D408-49AE-BFDC-7C3B55DAB977}">
  <sheetPr codeName="Sheet15">
    <tabColor rgb="FF0000FF"/>
  </sheetPr>
  <dimension ref="A1:Y258"/>
  <sheetViews>
    <sheetView view="pageBreakPreview" zoomScale="75" zoomScaleSheetLayoutView="75" workbookViewId="0"/>
  </sheetViews>
  <sheetFormatPr defaultColWidth="5.77734375" defaultRowHeight="15" customHeight="1" x14ac:dyDescent="0.15"/>
  <cols>
    <col min="1" max="1" width="2.77734375" style="166" customWidth="1"/>
    <col min="2" max="10" width="8.109375" style="166" customWidth="1"/>
    <col min="11" max="11" width="2.77734375" style="166" customWidth="1"/>
    <col min="12" max="12" width="6.77734375" style="166" customWidth="1"/>
    <col min="13" max="13" width="9.33203125" style="168" customWidth="1"/>
    <col min="14" max="14" width="8.44140625" style="166" customWidth="1"/>
    <col min="15" max="15" width="11.77734375" style="166" customWidth="1"/>
    <col min="16" max="16" width="6.77734375" style="166" customWidth="1"/>
    <col min="17" max="18" width="7.33203125" style="166" customWidth="1"/>
    <col min="19" max="19" width="6.77734375" style="166" customWidth="1"/>
    <col min="20" max="20" width="10.77734375" style="166" customWidth="1"/>
    <col min="21" max="21" width="6.77734375" style="166" customWidth="1"/>
    <col min="22" max="25" width="14.77734375" style="166" customWidth="1"/>
    <col min="26" max="29" width="20.77734375" style="166" customWidth="1"/>
    <col min="30" max="16384" width="5.77734375" style="166"/>
  </cols>
  <sheetData>
    <row r="1" spans="1:23" ht="15.95" customHeight="1" x14ac:dyDescent="0.15">
      <c r="A1" s="454" t="s">
        <v>1215</v>
      </c>
      <c r="C1" s="167"/>
      <c r="D1" s="167"/>
      <c r="E1" s="167"/>
      <c r="F1" s="167"/>
      <c r="G1" s="167"/>
      <c r="H1" s="167"/>
      <c r="I1" s="167"/>
      <c r="J1" s="167"/>
      <c r="K1" s="167"/>
      <c r="L1" s="700">
        <v>1</v>
      </c>
      <c r="M1" s="8"/>
      <c r="N1" s="8"/>
      <c r="O1" s="8"/>
      <c r="P1" s="8"/>
    </row>
    <row r="2" spans="1:23" ht="15.95" customHeight="1" x14ac:dyDescent="0.1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433">
        <v>1</v>
      </c>
      <c r="M2" s="428">
        <v>210000</v>
      </c>
      <c r="N2" s="434" t="s">
        <v>1085</v>
      </c>
      <c r="O2" s="8"/>
      <c r="P2" s="8"/>
    </row>
    <row r="3" spans="1:23" ht="15.95" customHeight="1" x14ac:dyDescent="0.15">
      <c r="A3" s="167"/>
      <c r="B3" s="3" t="s">
        <v>652</v>
      </c>
      <c r="C3" s="167"/>
      <c r="D3" s="167"/>
      <c r="E3" s="167"/>
      <c r="F3" s="167"/>
      <c r="G3" s="167"/>
      <c r="H3" s="167"/>
      <c r="I3" s="167"/>
      <c r="J3" s="167"/>
      <c r="K3" s="167"/>
      <c r="L3" s="433">
        <v>2</v>
      </c>
      <c r="M3" s="428">
        <v>193000</v>
      </c>
      <c r="N3" s="434" t="s">
        <v>1082</v>
      </c>
      <c r="O3" s="8"/>
      <c r="P3" s="8"/>
    </row>
    <row r="4" spans="1:23" ht="15.95" customHeight="1" x14ac:dyDescent="0.1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23" ht="15.95" customHeight="1" x14ac:dyDescent="0.15">
      <c r="A5" s="167"/>
      <c r="B5" s="173" t="s">
        <v>655</v>
      </c>
      <c r="C5" s="168" t="s">
        <v>4</v>
      </c>
      <c r="D5" s="157">
        <f>(SUMPRODUCT((M7:M9=M6)*(N6:O6=L6),N7:O9))</f>
        <v>0</v>
      </c>
      <c r="E5" s="167" t="s">
        <v>560</v>
      </c>
      <c r="H5" s="167" t="s">
        <v>656</v>
      </c>
      <c r="J5" s="167"/>
      <c r="K5" s="167"/>
      <c r="L5" s="782" t="s">
        <v>651</v>
      </c>
      <c r="M5" s="782"/>
      <c r="N5" s="163"/>
      <c r="O5" s="164"/>
    </row>
    <row r="6" spans="1:23" s="8" customFormat="1" ht="15.95" customHeight="1" x14ac:dyDescent="0.15">
      <c r="A6" s="3"/>
      <c r="B6" s="173" t="s">
        <v>669</v>
      </c>
      <c r="C6" s="168" t="s">
        <v>4</v>
      </c>
      <c r="D6" s="268">
        <f>IF(L1=L2,M2,M3)</f>
        <v>210000</v>
      </c>
      <c r="E6" s="198" t="s">
        <v>561</v>
      </c>
      <c r="F6" s="269" t="str">
        <f>IF(L1=L2,N2,N3)</f>
        <v>( SS 275 )</v>
      </c>
      <c r="G6" s="166"/>
      <c r="H6" s="167" t="s">
        <v>670</v>
      </c>
      <c r="J6" s="166"/>
      <c r="K6" s="3"/>
      <c r="L6" s="685" t="s">
        <v>649</v>
      </c>
      <c r="M6" s="686">
        <v>1</v>
      </c>
      <c r="N6" s="160" t="s">
        <v>649</v>
      </c>
      <c r="O6" s="160" t="s">
        <v>650</v>
      </c>
      <c r="P6" s="3"/>
    </row>
    <row r="7" spans="1:23" ht="15.95" customHeight="1" x14ac:dyDescent="0.15">
      <c r="A7" s="167"/>
      <c r="B7" s="173" t="s">
        <v>671</v>
      </c>
      <c r="C7" s="168" t="s">
        <v>4</v>
      </c>
      <c r="D7" s="696">
        <v>24</v>
      </c>
      <c r="E7" s="175" t="s">
        <v>672</v>
      </c>
      <c r="H7" s="167" t="s">
        <v>673</v>
      </c>
      <c r="J7" s="168"/>
      <c r="L7" s="165" t="s">
        <v>557</v>
      </c>
      <c r="M7" s="161">
        <v>1</v>
      </c>
      <c r="N7" s="162" t="str">
        <f>'WIND LOAD'!$T$7</f>
        <v>-</v>
      </c>
      <c r="O7" s="162">
        <f>'WIND LOAD'!$U$7</f>
        <v>0.96</v>
      </c>
    </row>
    <row r="8" spans="1:23" ht="15.95" customHeight="1" x14ac:dyDescent="0.15">
      <c r="A8" s="167"/>
      <c r="B8" s="173" t="s">
        <v>674</v>
      </c>
      <c r="C8" s="168" t="s">
        <v>4</v>
      </c>
      <c r="D8" s="697">
        <v>4</v>
      </c>
      <c r="E8" s="175" t="s">
        <v>675</v>
      </c>
      <c r="H8" s="167" t="s">
        <v>676</v>
      </c>
      <c r="J8" s="168"/>
      <c r="L8" s="165" t="s">
        <v>558</v>
      </c>
      <c r="M8" s="161">
        <v>2</v>
      </c>
      <c r="N8" s="162" t="str">
        <f>'WIND LOAD'!$T$8</f>
        <v>-</v>
      </c>
      <c r="O8" s="162">
        <f>'WIND LOAD'!$U$8</f>
        <v>-0.82599999999999996</v>
      </c>
    </row>
    <row r="9" spans="1:23" ht="15.95" customHeight="1" x14ac:dyDescent="0.15">
      <c r="A9" s="167"/>
      <c r="B9" s="173" t="s">
        <v>3</v>
      </c>
      <c r="C9" s="168" t="s">
        <v>4</v>
      </c>
      <c r="D9" s="696">
        <v>1500</v>
      </c>
      <c r="E9" s="167" t="s">
        <v>572</v>
      </c>
      <c r="H9" s="167" t="s">
        <v>653</v>
      </c>
      <c r="J9" s="167"/>
      <c r="K9" s="167"/>
      <c r="L9" s="165" t="s">
        <v>559</v>
      </c>
      <c r="M9" s="161">
        <v>3</v>
      </c>
      <c r="N9" s="162" t="str">
        <f>'WIND LOAD'!$T$9</f>
        <v>-</v>
      </c>
      <c r="O9" s="162">
        <f>'WIND LOAD'!$U$9</f>
        <v>-0.98899999999999999</v>
      </c>
    </row>
    <row r="10" spans="1:23" ht="15.95" customHeight="1" x14ac:dyDescent="0.15">
      <c r="A10" s="167"/>
      <c r="B10" s="173" t="s">
        <v>677</v>
      </c>
      <c r="C10" s="168" t="s">
        <v>4</v>
      </c>
      <c r="D10" s="696">
        <v>650</v>
      </c>
      <c r="E10" s="167" t="s">
        <v>572</v>
      </c>
      <c r="H10" s="167" t="s">
        <v>654</v>
      </c>
      <c r="J10" s="167"/>
      <c r="K10" s="167"/>
      <c r="L10" s="477"/>
      <c r="M10" s="167"/>
      <c r="N10" s="167"/>
      <c r="O10" s="167"/>
      <c r="R10" s="64"/>
    </row>
    <row r="11" spans="1:23" ht="15.95" customHeight="1" x14ac:dyDescent="0.15">
      <c r="A11" s="167"/>
      <c r="B11" s="173" t="s">
        <v>678</v>
      </c>
      <c r="C11" s="168" t="s">
        <v>4</v>
      </c>
      <c r="D11" s="698">
        <v>1700</v>
      </c>
      <c r="E11" s="167" t="s">
        <v>572</v>
      </c>
      <c r="H11" s="167"/>
      <c r="J11" s="167"/>
      <c r="K11" s="167"/>
      <c r="L11" s="167"/>
      <c r="M11" s="167"/>
      <c r="N11" s="167"/>
      <c r="O11" s="167"/>
      <c r="R11" s="64"/>
      <c r="S11" s="8"/>
      <c r="T11" s="64"/>
      <c r="U11" s="8"/>
      <c r="V11" s="64"/>
      <c r="W11" s="8"/>
    </row>
    <row r="12" spans="1:23" ht="15.95" customHeight="1" x14ac:dyDescent="0.15">
      <c r="A12" s="167"/>
      <c r="B12" s="173" t="s">
        <v>679</v>
      </c>
      <c r="C12" s="168" t="s">
        <v>4</v>
      </c>
      <c r="D12" s="270">
        <f>D84</f>
        <v>66427.672854374992</v>
      </c>
      <c r="E12" s="167" t="s">
        <v>1078</v>
      </c>
      <c r="F12" s="205" t="s">
        <v>680</v>
      </c>
      <c r="H12" s="167" t="s">
        <v>681</v>
      </c>
      <c r="J12" s="167"/>
      <c r="K12" s="167"/>
      <c r="L12" s="435" t="s">
        <v>935</v>
      </c>
      <c r="M12" s="702">
        <v>50</v>
      </c>
      <c r="N12" s="177" t="s">
        <v>583</v>
      </c>
      <c r="O12" s="196" t="s">
        <v>735</v>
      </c>
      <c r="P12" s="193" t="s">
        <v>736</v>
      </c>
      <c r="Q12" s="177" t="s">
        <v>737</v>
      </c>
      <c r="T12" s="64"/>
      <c r="U12" s="8"/>
      <c r="V12" s="64"/>
      <c r="W12" s="8"/>
    </row>
    <row r="13" spans="1:23" ht="15.95" customHeight="1" x14ac:dyDescent="0.15">
      <c r="A13" s="167"/>
      <c r="B13" s="173" t="s">
        <v>682</v>
      </c>
      <c r="C13" s="168" t="s">
        <v>4</v>
      </c>
      <c r="D13" s="270">
        <f>D132</f>
        <v>0</v>
      </c>
      <c r="E13" s="167" t="str">
        <f>E12</f>
        <v>N.mm</v>
      </c>
      <c r="F13" s="205" t="s">
        <v>680</v>
      </c>
      <c r="H13" s="167"/>
      <c r="J13" s="167"/>
      <c r="K13" s="167"/>
      <c r="L13" s="435" t="s">
        <v>1086</v>
      </c>
      <c r="M13" s="702">
        <v>100</v>
      </c>
      <c r="N13" s="177" t="s">
        <v>583</v>
      </c>
      <c r="O13" s="177">
        <v>12</v>
      </c>
      <c r="P13" s="706">
        <v>6</v>
      </c>
      <c r="Q13" s="177" t="s">
        <v>741</v>
      </c>
      <c r="T13" s="64"/>
      <c r="U13" s="8"/>
      <c r="V13" s="64"/>
      <c r="W13" s="8"/>
    </row>
    <row r="14" spans="1:23" ht="15.95" customHeight="1" x14ac:dyDescent="0.15">
      <c r="A14" s="167"/>
      <c r="B14" s="173" t="s">
        <v>683</v>
      </c>
      <c r="C14" s="168" t="s">
        <v>4</v>
      </c>
      <c r="D14" s="271">
        <f>D90</f>
        <v>0.30474195624262851</v>
      </c>
      <c r="E14" s="167" t="s">
        <v>572</v>
      </c>
      <c r="F14" s="205" t="s">
        <v>680</v>
      </c>
      <c r="H14" s="167" t="s">
        <v>684</v>
      </c>
      <c r="J14" s="272"/>
      <c r="K14" s="167"/>
      <c r="L14" s="435" t="s">
        <v>902</v>
      </c>
      <c r="M14" s="702">
        <v>2</v>
      </c>
      <c r="N14" s="177" t="s">
        <v>583</v>
      </c>
      <c r="O14" s="177">
        <v>16</v>
      </c>
      <c r="P14" s="706">
        <v>10</v>
      </c>
      <c r="Q14" s="177" t="s">
        <v>742</v>
      </c>
      <c r="T14" s="64"/>
      <c r="U14" s="8"/>
      <c r="V14" s="64"/>
      <c r="W14" s="8"/>
    </row>
    <row r="15" spans="1:23" ht="15.95" customHeight="1" x14ac:dyDescent="0.15">
      <c r="A15" s="167"/>
      <c r="B15" s="173" t="s">
        <v>685</v>
      </c>
      <c r="C15" s="168" t="s">
        <v>4</v>
      </c>
      <c r="D15" s="271">
        <f>D138</f>
        <v>0</v>
      </c>
      <c r="E15" s="167" t="s">
        <v>572</v>
      </c>
      <c r="F15" s="205" t="s">
        <v>680</v>
      </c>
      <c r="G15" s="167"/>
      <c r="I15" s="167"/>
      <c r="J15" s="272"/>
      <c r="K15" s="167"/>
      <c r="L15" s="435" t="s">
        <v>904</v>
      </c>
      <c r="M15" s="702">
        <v>2</v>
      </c>
      <c r="N15" s="177" t="s">
        <v>583</v>
      </c>
      <c r="O15" s="177">
        <v>18</v>
      </c>
      <c r="P15" s="706">
        <v>12</v>
      </c>
      <c r="Q15" s="177" t="s">
        <v>1220</v>
      </c>
      <c r="R15" s="217"/>
      <c r="T15" s="64"/>
      <c r="U15" s="8"/>
      <c r="V15" s="64"/>
      <c r="W15" s="8"/>
    </row>
    <row r="16" spans="1:23" ht="15.95" customHeight="1" x14ac:dyDescent="0.15">
      <c r="A16" s="167"/>
      <c r="B16" s="167"/>
      <c r="C16" s="273"/>
      <c r="D16" s="273"/>
      <c r="E16" s="273"/>
      <c r="I16" s="167"/>
      <c r="J16" s="167"/>
      <c r="K16" s="167"/>
      <c r="L16" s="435"/>
      <c r="M16" s="442"/>
      <c r="N16" s="436"/>
      <c r="O16" s="177">
        <v>22</v>
      </c>
      <c r="P16" s="706">
        <v>10</v>
      </c>
      <c r="Q16" s="177" t="s">
        <v>743</v>
      </c>
      <c r="R16" s="437"/>
      <c r="T16" s="64"/>
      <c r="U16" s="8"/>
      <c r="V16" s="64"/>
      <c r="W16" s="8"/>
    </row>
    <row r="17" spans="1:23" ht="15.95" customHeight="1" x14ac:dyDescent="0.15">
      <c r="A17" s="167"/>
      <c r="B17" s="3" t="s">
        <v>686</v>
      </c>
      <c r="C17" s="274"/>
      <c r="D17" s="273"/>
      <c r="F17" s="205" t="s">
        <v>680</v>
      </c>
      <c r="J17" s="167"/>
      <c r="K17" s="167"/>
      <c r="L17" s="435"/>
      <c r="M17" s="200"/>
      <c r="N17" s="167"/>
      <c r="O17" s="177">
        <v>24</v>
      </c>
      <c r="P17" s="706">
        <v>12</v>
      </c>
      <c r="Q17" s="177" t="s">
        <v>744</v>
      </c>
      <c r="R17" s="199"/>
      <c r="S17" s="167"/>
    </row>
    <row r="18" spans="1:23" ht="15.95" customHeight="1" x14ac:dyDescent="0.15">
      <c r="A18" s="167"/>
      <c r="B18" s="167"/>
      <c r="C18" s="274"/>
      <c r="D18" s="273"/>
      <c r="J18" s="167"/>
      <c r="K18" s="167"/>
      <c r="L18" s="435" t="s">
        <v>1091</v>
      </c>
      <c r="M18" s="438">
        <f>(M20*M19)-(M28*M27)</f>
        <v>584</v>
      </c>
      <c r="N18" s="167" t="s">
        <v>940</v>
      </c>
      <c r="O18" s="177">
        <v>28</v>
      </c>
      <c r="P18" s="706">
        <v>16</v>
      </c>
      <c r="Q18" s="177" t="s">
        <v>745</v>
      </c>
      <c r="R18" s="439"/>
      <c r="S18" s="167"/>
      <c r="T18" s="64"/>
      <c r="U18" s="8"/>
      <c r="V18" s="64"/>
      <c r="W18" s="8"/>
    </row>
    <row r="19" spans="1:23" ht="15.95" customHeight="1" x14ac:dyDescent="0.15">
      <c r="A19" s="167"/>
      <c r="B19" s="275" t="s">
        <v>687</v>
      </c>
      <c r="C19" s="275" t="s">
        <v>688</v>
      </c>
      <c r="D19" s="276" t="s">
        <v>689</v>
      </c>
      <c r="H19" s="799" t="s">
        <v>690</v>
      </c>
      <c r="I19" s="800"/>
      <c r="J19" s="167"/>
      <c r="K19" s="167"/>
      <c r="L19" s="435" t="s">
        <v>935</v>
      </c>
      <c r="M19" s="438">
        <f>M12</f>
        <v>50</v>
      </c>
      <c r="N19" s="177" t="s">
        <v>583</v>
      </c>
      <c r="P19" s="438"/>
      <c r="Q19" s="438"/>
      <c r="R19" s="439"/>
      <c r="S19" s="177"/>
      <c r="T19" s="64"/>
      <c r="U19" s="8"/>
      <c r="V19" s="64"/>
      <c r="W19" s="8"/>
    </row>
    <row r="20" spans="1:23" ht="15.95" customHeight="1" x14ac:dyDescent="0.15">
      <c r="A20" s="167"/>
      <c r="B20" s="277" t="s">
        <v>54</v>
      </c>
      <c r="C20" s="278" t="s">
        <v>691</v>
      </c>
      <c r="D20" s="703">
        <f>M18</f>
        <v>584</v>
      </c>
      <c r="H20" s="699" t="s">
        <v>692</v>
      </c>
      <c r="I20" s="279" t="s">
        <v>693</v>
      </c>
      <c r="J20" s="8"/>
      <c r="K20" s="280"/>
      <c r="L20" s="435" t="s">
        <v>1086</v>
      </c>
      <c r="M20" s="438">
        <f>M13</f>
        <v>100</v>
      </c>
      <c r="N20" s="177" t="s">
        <v>583</v>
      </c>
      <c r="P20" s="438"/>
      <c r="Q20" s="438"/>
      <c r="R20" s="439"/>
      <c r="S20" s="177"/>
      <c r="T20" s="64"/>
      <c r="U20" s="8"/>
      <c r="V20" s="64"/>
      <c r="W20" s="8"/>
    </row>
    <row r="21" spans="1:23" ht="15.95" customHeight="1" x14ac:dyDescent="0.15">
      <c r="A21" s="167"/>
      <c r="B21" s="277" t="s">
        <v>694</v>
      </c>
      <c r="C21" s="278" t="s">
        <v>695</v>
      </c>
      <c r="D21" s="704">
        <f>M23</f>
        <v>262978.66666666669</v>
      </c>
      <c r="F21" s="31"/>
      <c r="G21" s="8"/>
      <c r="H21" s="8"/>
      <c r="I21" s="8"/>
      <c r="J21" s="8"/>
      <c r="K21" s="280"/>
      <c r="L21" s="435" t="s">
        <v>902</v>
      </c>
      <c r="M21" s="438">
        <f>M14</f>
        <v>2</v>
      </c>
      <c r="N21" s="177" t="s">
        <v>583</v>
      </c>
      <c r="P21" s="438"/>
      <c r="Q21" s="438"/>
      <c r="R21" s="439"/>
      <c r="S21" s="177"/>
      <c r="T21" s="64"/>
      <c r="U21" s="8"/>
      <c r="V21" s="64"/>
      <c r="W21" s="8"/>
    </row>
    <row r="22" spans="1:23" ht="15.95" customHeight="1" x14ac:dyDescent="0.15">
      <c r="A22" s="167"/>
      <c r="B22" s="277" t="s">
        <v>696</v>
      </c>
      <c r="C22" s="278" t="s">
        <v>695</v>
      </c>
      <c r="D22" s="704">
        <f>M24</f>
        <v>775178.66666666663</v>
      </c>
      <c r="G22" s="198"/>
      <c r="H22" s="198"/>
      <c r="I22" s="198"/>
      <c r="K22" s="167"/>
      <c r="L22" s="435" t="s">
        <v>904</v>
      </c>
      <c r="M22" s="438">
        <f>M15</f>
        <v>2</v>
      </c>
      <c r="N22" s="177" t="s">
        <v>583</v>
      </c>
      <c r="P22" s="438"/>
      <c r="Q22" s="438"/>
      <c r="R22" s="439"/>
      <c r="S22" s="177"/>
      <c r="T22" s="64"/>
      <c r="U22" s="8"/>
      <c r="V22" s="64"/>
      <c r="W22" s="8"/>
    </row>
    <row r="23" spans="1:23" ht="15.95" customHeight="1" x14ac:dyDescent="0.15">
      <c r="A23" s="167"/>
      <c r="B23" s="277" t="s">
        <v>697</v>
      </c>
      <c r="C23" s="278" t="s">
        <v>698</v>
      </c>
      <c r="D23" s="705">
        <f>M20/2</f>
        <v>50</v>
      </c>
      <c r="G23" s="198"/>
      <c r="H23" s="198" t="s">
        <v>699</v>
      </c>
      <c r="I23" s="198"/>
      <c r="K23" s="167"/>
      <c r="L23" s="435" t="s">
        <v>879</v>
      </c>
      <c r="M23" s="440">
        <f>(M20*M19^3-M28*M27^3)/12</f>
        <v>262978.66666666669</v>
      </c>
      <c r="N23" s="167" t="s">
        <v>1087</v>
      </c>
      <c r="P23" s="440"/>
      <c r="Q23" s="440"/>
      <c r="R23" s="441"/>
      <c r="S23" s="167"/>
      <c r="T23" s="22"/>
      <c r="U23" s="8"/>
      <c r="V23" s="64"/>
      <c r="W23" s="8"/>
    </row>
    <row r="24" spans="1:23" ht="15.95" customHeight="1" x14ac:dyDescent="0.15">
      <c r="A24" s="167"/>
      <c r="B24" s="277" t="s">
        <v>700</v>
      </c>
      <c r="C24" s="278" t="s">
        <v>698</v>
      </c>
      <c r="D24" s="705">
        <f>M19/2</f>
        <v>25</v>
      </c>
      <c r="G24" s="198"/>
      <c r="H24" s="198"/>
      <c r="I24" s="198"/>
      <c r="K24" s="167"/>
      <c r="L24" s="435" t="s">
        <v>881</v>
      </c>
      <c r="M24" s="440">
        <f>(M19*M20^3-M27*M28^3)/12</f>
        <v>775178.66666666663</v>
      </c>
      <c r="N24" s="167" t="s">
        <v>1087</v>
      </c>
      <c r="P24" s="440"/>
      <c r="Q24" s="440"/>
      <c r="R24" s="441"/>
      <c r="S24" s="167"/>
      <c r="T24" s="64"/>
      <c r="U24" s="8"/>
      <c r="V24" s="22"/>
      <c r="W24" s="8"/>
    </row>
    <row r="25" spans="1:23" ht="15.95" customHeight="1" x14ac:dyDescent="0.15">
      <c r="A25" s="167"/>
      <c r="B25" s="277" t="s">
        <v>660</v>
      </c>
      <c r="C25" s="278" t="s">
        <v>701</v>
      </c>
      <c r="D25" s="281">
        <f>D21/D24</f>
        <v>10519.146666666667</v>
      </c>
      <c r="G25" s="198"/>
      <c r="H25" s="198" t="s">
        <v>702</v>
      </c>
      <c r="I25" s="198"/>
      <c r="K25" s="167"/>
      <c r="L25" s="435" t="s">
        <v>886</v>
      </c>
      <c r="M25" s="440">
        <f>M23/(M19/2)</f>
        <v>10519.146666666667</v>
      </c>
      <c r="N25" s="167" t="s">
        <v>1088</v>
      </c>
      <c r="P25" s="440"/>
      <c r="Q25" s="440"/>
      <c r="R25" s="441"/>
      <c r="S25" s="167"/>
      <c r="T25" s="64"/>
      <c r="U25" s="8"/>
      <c r="V25" s="22"/>
      <c r="W25" s="8"/>
    </row>
    <row r="26" spans="1:23" ht="15.95" customHeight="1" x14ac:dyDescent="0.15">
      <c r="A26" s="167"/>
      <c r="B26" s="277" t="s">
        <v>659</v>
      </c>
      <c r="C26" s="278" t="s">
        <v>701</v>
      </c>
      <c r="D26" s="281">
        <f>D22/D23</f>
        <v>15503.573333333332</v>
      </c>
      <c r="G26" s="198"/>
      <c r="H26" s="198"/>
      <c r="I26" s="198"/>
      <c r="K26" s="167"/>
      <c r="L26" s="435" t="s">
        <v>889</v>
      </c>
      <c r="M26" s="440">
        <f>M24/(M20/2)</f>
        <v>15503.573333333332</v>
      </c>
      <c r="N26" s="167" t="s">
        <v>1088</v>
      </c>
      <c r="P26" s="440"/>
      <c r="Q26" s="440"/>
      <c r="R26" s="441"/>
      <c r="S26" s="167"/>
      <c r="T26" s="64"/>
      <c r="U26" s="8"/>
      <c r="V26" s="22"/>
      <c r="W26" s="8"/>
    </row>
    <row r="27" spans="1:23" ht="15.95" customHeight="1" x14ac:dyDescent="0.15">
      <c r="A27" s="167"/>
      <c r="B27" s="167"/>
      <c r="C27" s="282"/>
      <c r="D27" s="167"/>
      <c r="E27" s="167"/>
      <c r="F27" s="167"/>
      <c r="K27" s="167"/>
      <c r="L27" s="435" t="s">
        <v>1089</v>
      </c>
      <c r="M27" s="438">
        <f>M19-2*M21</f>
        <v>46</v>
      </c>
      <c r="N27" s="177" t="s">
        <v>583</v>
      </c>
      <c r="P27" s="438"/>
      <c r="Q27" s="438"/>
      <c r="R27" s="439"/>
      <c r="S27" s="177"/>
    </row>
    <row r="28" spans="1:23" ht="15.95" customHeight="1" x14ac:dyDescent="0.15">
      <c r="A28" s="167"/>
      <c r="F28" s="167"/>
      <c r="J28" s="283"/>
      <c r="K28" s="167"/>
      <c r="L28" s="435" t="s">
        <v>1090</v>
      </c>
      <c r="M28" s="438">
        <f>M20-2*M22</f>
        <v>96</v>
      </c>
      <c r="N28" s="177" t="s">
        <v>583</v>
      </c>
      <c r="P28" s="438"/>
      <c r="Q28" s="438"/>
      <c r="R28" s="439"/>
      <c r="S28" s="177"/>
    </row>
    <row r="29" spans="1:23" s="168" customFormat="1" ht="15.95" customHeight="1" x14ac:dyDescent="0.15">
      <c r="A29" s="167"/>
      <c r="B29" s="801" t="s">
        <v>703</v>
      </c>
      <c r="C29" s="802"/>
      <c r="D29" s="276" t="s">
        <v>704</v>
      </c>
      <c r="E29" s="284" t="s">
        <v>705</v>
      </c>
      <c r="F29" s="805" t="s">
        <v>706</v>
      </c>
      <c r="G29" s="806"/>
      <c r="J29" s="167"/>
      <c r="K29" s="167"/>
    </row>
    <row r="30" spans="1:23" s="168" customFormat="1" ht="15.95" customHeight="1" x14ac:dyDescent="0.15">
      <c r="A30" s="167"/>
      <c r="B30" s="816" t="s">
        <v>707</v>
      </c>
      <c r="C30" s="285" t="s">
        <v>708</v>
      </c>
      <c r="D30" s="286">
        <f>D145</f>
        <v>6.3149298093611197</v>
      </c>
      <c r="E30" s="287">
        <f>D152</f>
        <v>181.5</v>
      </c>
      <c r="F30" s="288">
        <f>D30/E30</f>
        <v>3.479300170446898E-2</v>
      </c>
      <c r="G30" s="289" t="str">
        <f>IF(D30&lt;E30,"O.K.","N.G.")</f>
        <v>O.K.</v>
      </c>
      <c r="J30" s="167"/>
      <c r="K30" s="167"/>
    </row>
    <row r="31" spans="1:23" s="168" customFormat="1" ht="15.95" customHeight="1" x14ac:dyDescent="0.15">
      <c r="A31" s="167"/>
      <c r="B31" s="817"/>
      <c r="C31" s="285" t="s">
        <v>655</v>
      </c>
      <c r="D31" s="286">
        <f>D163</f>
        <v>0</v>
      </c>
      <c r="E31" s="287">
        <f>D170</f>
        <v>181.5</v>
      </c>
      <c r="F31" s="288">
        <f>D31/E31</f>
        <v>0</v>
      </c>
      <c r="G31" s="289" t="str">
        <f>IF(D31&lt;E31,"O.K.","N.G.")</f>
        <v>O.K.</v>
      </c>
      <c r="J31" s="167"/>
      <c r="K31" s="167"/>
      <c r="L31" s="167"/>
    </row>
    <row r="32" spans="1:23" s="168" customFormat="1" ht="15.95" customHeight="1" x14ac:dyDescent="0.15">
      <c r="A32" s="167"/>
      <c r="B32" s="818"/>
      <c r="C32" s="285" t="s">
        <v>709</v>
      </c>
      <c r="D32" s="819" t="s">
        <v>710</v>
      </c>
      <c r="E32" s="820"/>
      <c r="F32" s="288">
        <f>F30+F31</f>
        <v>3.479300170446898E-2</v>
      </c>
      <c r="G32" s="289" t="str">
        <f>IF(F32&lt;1,"O.K.","N.G.")</f>
        <v>O.K.</v>
      </c>
      <c r="J32" s="167"/>
      <c r="K32" s="167"/>
      <c r="M32" s="829" t="s">
        <v>711</v>
      </c>
      <c r="N32" s="829"/>
      <c r="O32" s="177"/>
    </row>
    <row r="33" spans="1:16" s="168" customFormat="1" ht="15.95" customHeight="1" x14ac:dyDescent="0.2">
      <c r="A33" s="167"/>
      <c r="B33" s="290" t="s">
        <v>712</v>
      </c>
      <c r="C33" s="285" t="s">
        <v>708</v>
      </c>
      <c r="D33" s="291">
        <f>D14</f>
        <v>0.30474195624262851</v>
      </c>
      <c r="E33" s="701">
        <f>VLOOKUP(H20,M33:N34,2,0)</f>
        <v>3</v>
      </c>
      <c r="F33" s="288">
        <f>D33/E33</f>
        <v>0.10158065208087617</v>
      </c>
      <c r="G33" s="289" t="str">
        <f>IF(D33&lt;E33,"O.K.","N.G.")</f>
        <v>O.K.</v>
      </c>
      <c r="J33" s="167"/>
      <c r="K33" s="167"/>
      <c r="M33" s="292" t="s">
        <v>713</v>
      </c>
      <c r="N33" s="694">
        <v>1.5</v>
      </c>
      <c r="O33" s="177"/>
      <c r="P33" s="177"/>
    </row>
    <row r="34" spans="1:16" s="177" customFormat="1" ht="15.95" customHeight="1" x14ac:dyDescent="0.15">
      <c r="A34" s="167"/>
      <c r="B34" s="293" t="s">
        <v>698</v>
      </c>
      <c r="C34" s="285" t="s">
        <v>655</v>
      </c>
      <c r="D34" s="291">
        <f>D15</f>
        <v>0</v>
      </c>
      <c r="E34" s="294">
        <f>D213</f>
        <v>8.5714285714285712</v>
      </c>
      <c r="F34" s="288">
        <f>D34/E34</f>
        <v>0</v>
      </c>
      <c r="G34" s="289" t="str">
        <f>IF(D34&lt;E34,"O.K.","N.G.")</f>
        <v>O.K.</v>
      </c>
      <c r="J34" s="167"/>
      <c r="K34" s="167"/>
      <c r="M34" s="292" t="s">
        <v>714</v>
      </c>
      <c r="N34" s="694">
        <v>3</v>
      </c>
      <c r="O34" s="192" t="s">
        <v>715</v>
      </c>
    </row>
    <row r="35" spans="1:16" s="177" customFormat="1" ht="15.95" customHeight="1" x14ac:dyDescent="0.15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93"/>
    </row>
    <row r="36" spans="1:16" s="177" customFormat="1" ht="15.95" customHeight="1" x14ac:dyDescent="0.15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93"/>
    </row>
    <row r="37" spans="1:16" s="177" customFormat="1" ht="15.95" customHeight="1" x14ac:dyDescent="0.15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93"/>
    </row>
    <row r="38" spans="1:16" s="177" customFormat="1" ht="15.95" customHeight="1" x14ac:dyDescent="0.15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93"/>
    </row>
    <row r="39" spans="1:16" s="177" customFormat="1" ht="15.95" customHeight="1" x14ac:dyDescent="0.15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93"/>
    </row>
    <row r="40" spans="1:16" s="177" customFormat="1" ht="15.95" customHeight="1" x14ac:dyDescent="0.15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93"/>
    </row>
    <row r="41" spans="1:16" s="177" customFormat="1" ht="15.95" customHeight="1" x14ac:dyDescent="0.15">
      <c r="A41" s="167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93"/>
    </row>
    <row r="42" spans="1:16" s="177" customFormat="1" ht="15.95" customHeight="1" x14ac:dyDescent="0.15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93"/>
    </row>
    <row r="43" spans="1:16" s="177" customFormat="1" ht="15.95" customHeight="1" x14ac:dyDescent="0.15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93"/>
    </row>
    <row r="44" spans="1:16" s="177" customFormat="1" ht="15.95" customHeight="1" x14ac:dyDescent="0.15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93"/>
    </row>
    <row r="45" spans="1:16" s="177" customFormat="1" ht="15.95" customHeight="1" x14ac:dyDescent="0.15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93"/>
    </row>
    <row r="46" spans="1:16" s="177" customFormat="1" ht="15.95" customHeight="1" x14ac:dyDescent="0.15">
      <c r="A46" s="796" t="s">
        <v>1217</v>
      </c>
      <c r="B46" s="796"/>
      <c r="C46" s="796"/>
      <c r="D46" s="796"/>
      <c r="E46" s="796"/>
      <c r="F46" s="796"/>
      <c r="G46" s="796"/>
      <c r="H46" s="796"/>
      <c r="I46" s="796"/>
      <c r="J46" s="796"/>
      <c r="K46" s="796"/>
      <c r="L46" s="167"/>
      <c r="M46" s="193"/>
    </row>
    <row r="47" spans="1:16" s="177" customFormat="1" ht="15.95" hidden="1" customHeight="1" x14ac:dyDescent="0.15">
      <c r="B47" s="2" t="s">
        <v>716</v>
      </c>
    </row>
    <row r="48" spans="1:16" s="177" customFormat="1" ht="15.95" hidden="1" customHeight="1" x14ac:dyDescent="0.15"/>
    <row r="49" spans="1:18" s="177" customFormat="1" ht="15.95" hidden="1" customHeight="1" x14ac:dyDescent="0.15">
      <c r="B49" s="177" t="s">
        <v>717</v>
      </c>
    </row>
    <row r="50" spans="1:18" s="177" customFormat="1" ht="15.95" hidden="1" customHeight="1" x14ac:dyDescent="0.15">
      <c r="L50" s="456"/>
      <c r="M50" s="461"/>
    </row>
    <row r="51" spans="1:18" s="177" customFormat="1" ht="15.95" hidden="1" customHeight="1" x14ac:dyDescent="0.15">
      <c r="B51" s="456" t="s">
        <v>718</v>
      </c>
      <c r="C51" s="461" t="s">
        <v>719</v>
      </c>
    </row>
    <row r="52" spans="1:18" s="177" customFormat="1" ht="15.95" hidden="1" customHeight="1" x14ac:dyDescent="0.15">
      <c r="A52" s="202"/>
      <c r="B52" s="456" t="s">
        <v>720</v>
      </c>
      <c r="C52" s="461" t="s">
        <v>721</v>
      </c>
    </row>
    <row r="53" spans="1:18" s="177" customFormat="1" ht="15.95" hidden="1" customHeight="1" x14ac:dyDescent="0.15">
      <c r="A53" s="202"/>
    </row>
    <row r="54" spans="1:18" s="177" customFormat="1" ht="15.95" hidden="1" customHeight="1" x14ac:dyDescent="0.15">
      <c r="A54" s="202"/>
    </row>
    <row r="55" spans="1:18" s="177" customFormat="1" ht="15.95" hidden="1" customHeight="1" x14ac:dyDescent="0.15">
      <c r="A55" s="202"/>
    </row>
    <row r="56" spans="1:18" s="177" customFormat="1" ht="15.95" hidden="1" customHeight="1" x14ac:dyDescent="0.15">
      <c r="A56" s="202"/>
    </row>
    <row r="57" spans="1:18" s="177" customFormat="1" ht="15.95" hidden="1" customHeight="1" x14ac:dyDescent="0.15">
      <c r="A57" s="202"/>
    </row>
    <row r="58" spans="1:18" s="177" customFormat="1" ht="15.95" hidden="1" customHeight="1" x14ac:dyDescent="0.15">
      <c r="A58" s="202"/>
    </row>
    <row r="59" spans="1:18" s="177" customFormat="1" ht="15.95" hidden="1" customHeight="1" x14ac:dyDescent="0.15">
      <c r="A59" s="202"/>
    </row>
    <row r="60" spans="1:18" s="177" customFormat="1" ht="15.95" hidden="1" customHeight="1" x14ac:dyDescent="0.15">
      <c r="A60" s="202"/>
    </row>
    <row r="61" spans="1:18" s="177" customFormat="1" ht="15.95" hidden="1" customHeight="1" x14ac:dyDescent="0.15">
      <c r="A61" s="202"/>
      <c r="B61" s="830" t="s">
        <v>722</v>
      </c>
      <c r="C61" s="830"/>
      <c r="D61" s="830"/>
      <c r="E61" s="462"/>
      <c r="G61" s="830" t="s">
        <v>723</v>
      </c>
      <c r="H61" s="830"/>
    </row>
    <row r="62" spans="1:18" s="177" customFormat="1" ht="15.95" hidden="1" customHeight="1" x14ac:dyDescent="0.15"/>
    <row r="63" spans="1:18" s="177" customFormat="1" ht="15.95" hidden="1" customHeight="1" x14ac:dyDescent="0.15"/>
    <row r="64" spans="1:18" s="177" customFormat="1" ht="15.95" hidden="1" customHeight="1" x14ac:dyDescent="0.15">
      <c r="A64" s="202"/>
      <c r="B64" s="197" t="s">
        <v>724</v>
      </c>
      <c r="Q64" s="196" t="s">
        <v>725</v>
      </c>
      <c r="R64" s="295">
        <v>9.8066499999999994</v>
      </c>
    </row>
    <row r="65" spans="1:18" s="177" customFormat="1" ht="15.95" hidden="1" customHeight="1" x14ac:dyDescent="0.15">
      <c r="N65" s="196" t="s">
        <v>726</v>
      </c>
      <c r="O65" s="296">
        <f>Q65*$R$64/10^9</f>
        <v>2.4516625E-5</v>
      </c>
      <c r="P65" s="203" t="s">
        <v>929</v>
      </c>
      <c r="Q65" s="297">
        <v>2500</v>
      </c>
      <c r="R65" s="203" t="s">
        <v>930</v>
      </c>
    </row>
    <row r="66" spans="1:18" s="177" customFormat="1" ht="15.95" hidden="1" customHeight="1" x14ac:dyDescent="0.15">
      <c r="B66" s="457" t="s">
        <v>2</v>
      </c>
      <c r="C66" s="168" t="s">
        <v>4</v>
      </c>
      <c r="D66" s="268">
        <f>D9</f>
        <v>1500</v>
      </c>
      <c r="E66" s="177" t="s">
        <v>562</v>
      </c>
      <c r="G66" s="457" t="s">
        <v>7</v>
      </c>
      <c r="H66" s="168" t="s">
        <v>4</v>
      </c>
      <c r="I66" s="268">
        <f>(VLOOKUP(D7,N74:O79,2)*O65*D67*D66/2)</f>
        <v>143.42225625</v>
      </c>
      <c r="J66" s="202" t="s">
        <v>580</v>
      </c>
      <c r="N66" s="196" t="s">
        <v>727</v>
      </c>
      <c r="O66" s="296">
        <f>Q66*$R$64/10^9</f>
        <v>2.6477954999999996E-5</v>
      </c>
      <c r="P66" s="203" t="s">
        <v>929</v>
      </c>
      <c r="Q66" s="297">
        <v>2700</v>
      </c>
      <c r="R66" s="203" t="s">
        <v>930</v>
      </c>
    </row>
    <row r="67" spans="1:18" s="177" customFormat="1" ht="15.95" hidden="1" customHeight="1" x14ac:dyDescent="0.15">
      <c r="B67" s="457" t="s">
        <v>117</v>
      </c>
      <c r="C67" s="168" t="s">
        <v>4</v>
      </c>
      <c r="D67" s="268">
        <f>D10</f>
        <v>650</v>
      </c>
      <c r="E67" s="177" t="s">
        <v>562</v>
      </c>
      <c r="G67" s="203" t="s">
        <v>728</v>
      </c>
      <c r="N67" s="196" t="s">
        <v>729</v>
      </c>
      <c r="O67" s="296">
        <f>Q67*$R$64/10^9</f>
        <v>7.6982202499999993E-5</v>
      </c>
      <c r="P67" s="203" t="s">
        <v>929</v>
      </c>
      <c r="Q67" s="298">
        <v>7850</v>
      </c>
      <c r="R67" s="203" t="s">
        <v>930</v>
      </c>
    </row>
    <row r="68" spans="1:18" s="177" customFormat="1" ht="15.95" hidden="1" customHeight="1" x14ac:dyDescent="0.15">
      <c r="B68" s="457" t="s">
        <v>52</v>
      </c>
      <c r="C68" s="168" t="s">
        <v>4</v>
      </c>
      <c r="D68" s="268">
        <f>D66/D8</f>
        <v>375</v>
      </c>
      <c r="E68" s="177" t="s">
        <v>562</v>
      </c>
      <c r="G68" s="457" t="s">
        <v>730</v>
      </c>
      <c r="H68" s="168" t="s">
        <v>4</v>
      </c>
      <c r="I68" s="174">
        <f>O69</f>
        <v>67.436409389999994</v>
      </c>
      <c r="J68" s="167" t="s">
        <v>580</v>
      </c>
      <c r="N68" s="196" t="s">
        <v>731</v>
      </c>
      <c r="O68" s="217">
        <f>D20</f>
        <v>584</v>
      </c>
      <c r="P68" s="177" t="s">
        <v>940</v>
      </c>
    </row>
    <row r="69" spans="1:18" s="177" customFormat="1" ht="15.95" hidden="1" customHeight="1" x14ac:dyDescent="0.15">
      <c r="B69" s="457" t="s">
        <v>849</v>
      </c>
      <c r="C69" s="168" t="s">
        <v>4</v>
      </c>
      <c r="D69" s="268">
        <f>D6</f>
        <v>210000</v>
      </c>
      <c r="E69" s="198" t="s">
        <v>561</v>
      </c>
      <c r="G69" s="203" t="s">
        <v>732</v>
      </c>
      <c r="N69" s="196" t="s">
        <v>733</v>
      </c>
      <c r="O69" s="217">
        <f>O67*O68*D66</f>
        <v>67.436409389999994</v>
      </c>
      <c r="P69" s="202" t="s">
        <v>580</v>
      </c>
    </row>
    <row r="70" spans="1:18" s="177" customFormat="1" ht="15.95" hidden="1" customHeight="1" x14ac:dyDescent="0.15">
      <c r="B70" s="457" t="s">
        <v>879</v>
      </c>
      <c r="C70" s="168" t="s">
        <v>4</v>
      </c>
      <c r="D70" s="268">
        <f>D21</f>
        <v>262978.66666666669</v>
      </c>
      <c r="E70" s="177" t="s">
        <v>943</v>
      </c>
      <c r="G70" s="457" t="s">
        <v>11</v>
      </c>
      <c r="H70" s="168" t="s">
        <v>4</v>
      </c>
      <c r="I70" s="457" t="s">
        <v>734</v>
      </c>
      <c r="O70" s="196"/>
      <c r="P70" s="166"/>
    </row>
    <row r="71" spans="1:18" s="177" customFormat="1" ht="15.95" hidden="1" customHeight="1" x14ac:dyDescent="0.15">
      <c r="G71" s="457"/>
      <c r="H71" s="168" t="s">
        <v>4</v>
      </c>
      <c r="I71" s="299">
        <f>I68/D66</f>
        <v>4.4957606259999998E-2</v>
      </c>
      <c r="J71" s="167" t="s">
        <v>946</v>
      </c>
      <c r="O71" s="196"/>
      <c r="P71" s="166"/>
      <c r="Q71" s="202"/>
    </row>
    <row r="72" spans="1:18" s="177" customFormat="1" ht="15.95" hidden="1" customHeight="1" x14ac:dyDescent="0.15"/>
    <row r="73" spans="1:18" s="177" customFormat="1" ht="15.95" hidden="1" customHeight="1" x14ac:dyDescent="0.15">
      <c r="N73" s="196" t="s">
        <v>735</v>
      </c>
      <c r="O73" s="193" t="s">
        <v>736</v>
      </c>
      <c r="P73" s="177" t="s">
        <v>737</v>
      </c>
      <c r="Q73" s="203" t="s">
        <v>738</v>
      </c>
      <c r="R73" s="196" t="s">
        <v>739</v>
      </c>
    </row>
    <row r="74" spans="1:18" s="177" customFormat="1" ht="15.95" hidden="1" customHeight="1" x14ac:dyDescent="0.15">
      <c r="B74" s="197" t="s">
        <v>740</v>
      </c>
      <c r="N74" s="194">
        <v>12</v>
      </c>
      <c r="O74" s="300">
        <v>6</v>
      </c>
      <c r="P74" s="194" t="s">
        <v>741</v>
      </c>
      <c r="Q74" s="217">
        <f>R74*$R$64</f>
        <v>147.09975</v>
      </c>
      <c r="R74" s="217">
        <f>$Q$65*(O74/10^3)</f>
        <v>15</v>
      </c>
    </row>
    <row r="75" spans="1:18" s="177" customFormat="1" ht="15.95" hidden="1" customHeight="1" x14ac:dyDescent="0.15">
      <c r="A75" s="202"/>
      <c r="N75" s="194">
        <v>16</v>
      </c>
      <c r="O75" s="300">
        <v>10</v>
      </c>
      <c r="P75" s="194" t="s">
        <v>742</v>
      </c>
      <c r="Q75" s="217">
        <f t="shared" ref="Q75:Q79" si="0">R75*$R$64</f>
        <v>245.16624999999999</v>
      </c>
      <c r="R75" s="217">
        <f t="shared" ref="R75:R79" si="1">$Q$65*(O75/10^3)</f>
        <v>25</v>
      </c>
    </row>
    <row r="76" spans="1:18" s="177" customFormat="1" ht="15.95" hidden="1" customHeight="1" x14ac:dyDescent="0.15">
      <c r="B76" s="457" t="s">
        <v>954</v>
      </c>
      <c r="C76" s="168" t="s">
        <v>4</v>
      </c>
      <c r="D76" s="457" t="s">
        <v>955</v>
      </c>
      <c r="E76" s="168"/>
      <c r="G76" s="457" t="s">
        <v>956</v>
      </c>
      <c r="H76" s="168" t="s">
        <v>4</v>
      </c>
      <c r="I76" s="457" t="s">
        <v>957</v>
      </c>
      <c r="J76" s="168"/>
      <c r="N76" s="194">
        <v>18</v>
      </c>
      <c r="O76" s="300">
        <v>12</v>
      </c>
      <c r="P76" s="194" t="s">
        <v>1220</v>
      </c>
      <c r="Q76" s="217">
        <f t="shared" si="0"/>
        <v>294.1995</v>
      </c>
      <c r="R76" s="217">
        <f t="shared" si="1"/>
        <v>30</v>
      </c>
    </row>
    <row r="77" spans="1:18" s="177" customFormat="1" ht="15.95" hidden="1" customHeight="1" x14ac:dyDescent="0.15">
      <c r="B77" s="457"/>
      <c r="C77" s="168" t="s">
        <v>4</v>
      </c>
      <c r="D77" s="457" t="s">
        <v>7</v>
      </c>
      <c r="E77" s="168"/>
      <c r="F77" s="457"/>
      <c r="G77" s="457"/>
      <c r="H77" s="168" t="s">
        <v>4</v>
      </c>
      <c r="I77" s="457" t="s">
        <v>959</v>
      </c>
      <c r="J77" s="168"/>
      <c r="N77" s="194">
        <v>22</v>
      </c>
      <c r="O77" s="300">
        <v>10</v>
      </c>
      <c r="P77" s="194" t="s">
        <v>743</v>
      </c>
      <c r="Q77" s="217">
        <f t="shared" si="0"/>
        <v>245.16624999999999</v>
      </c>
      <c r="R77" s="217">
        <f t="shared" si="1"/>
        <v>25</v>
      </c>
    </row>
    <row r="78" spans="1:18" s="177" customFormat="1" ht="15.95" hidden="1" customHeight="1" x14ac:dyDescent="0.15">
      <c r="B78" s="457"/>
      <c r="C78" s="168" t="s">
        <v>4</v>
      </c>
      <c r="D78" s="268">
        <f>I66</f>
        <v>143.42225625</v>
      </c>
      <c r="E78" s="177" t="s">
        <v>580</v>
      </c>
      <c r="F78" s="457"/>
      <c r="G78" s="457"/>
      <c r="H78" s="168" t="s">
        <v>4</v>
      </c>
      <c r="I78" s="174">
        <f>(I71*D66)/2</f>
        <v>33.718204694999997</v>
      </c>
      <c r="J78" s="177" t="s">
        <v>580</v>
      </c>
      <c r="N78" s="194">
        <v>24</v>
      </c>
      <c r="O78" s="300">
        <v>12</v>
      </c>
      <c r="P78" s="194" t="s">
        <v>744</v>
      </c>
      <c r="Q78" s="217">
        <f t="shared" si="0"/>
        <v>294.1995</v>
      </c>
      <c r="R78" s="217">
        <f t="shared" si="1"/>
        <v>30</v>
      </c>
    </row>
    <row r="79" spans="1:18" s="177" customFormat="1" ht="15.95" hidden="1" customHeight="1" x14ac:dyDescent="0.15">
      <c r="B79" s="457"/>
      <c r="C79" s="168"/>
      <c r="D79" s="166"/>
      <c r="F79" s="457"/>
      <c r="G79" s="457"/>
      <c r="H79" s="168"/>
      <c r="I79" s="176"/>
      <c r="N79" s="194">
        <v>28</v>
      </c>
      <c r="O79" s="300">
        <v>16</v>
      </c>
      <c r="P79" s="194" t="s">
        <v>745</v>
      </c>
      <c r="Q79" s="217">
        <f t="shared" si="0"/>
        <v>392.26599999999996</v>
      </c>
      <c r="R79" s="217">
        <f t="shared" si="1"/>
        <v>40</v>
      </c>
    </row>
    <row r="80" spans="1:18" s="177" customFormat="1" ht="15.95" hidden="1" customHeight="1" x14ac:dyDescent="0.15">
      <c r="B80" s="457" t="s">
        <v>963</v>
      </c>
      <c r="C80" s="168" t="s">
        <v>4</v>
      </c>
      <c r="D80" s="457" t="s">
        <v>964</v>
      </c>
      <c r="E80" s="168"/>
      <c r="G80" s="457" t="s">
        <v>965</v>
      </c>
      <c r="H80" s="168" t="s">
        <v>4</v>
      </c>
      <c r="I80" s="457" t="s">
        <v>966</v>
      </c>
      <c r="J80" s="168"/>
      <c r="L80" s="301"/>
      <c r="M80" s="202"/>
      <c r="N80" s="301"/>
      <c r="O80" s="203"/>
    </row>
    <row r="81" spans="2:15" s="177" customFormat="1" ht="15.95" hidden="1" customHeight="1" x14ac:dyDescent="0.15">
      <c r="B81" s="457"/>
      <c r="C81" s="168" t="s">
        <v>4</v>
      </c>
      <c r="D81" s="268">
        <f>I66*D68</f>
        <v>53783.346093749999</v>
      </c>
      <c r="E81" s="202" t="s">
        <v>602</v>
      </c>
      <c r="G81" s="457"/>
      <c r="H81" s="168" t="s">
        <v>4</v>
      </c>
      <c r="I81" s="268">
        <f>(I71*D66^2)/8</f>
        <v>12644.326760624999</v>
      </c>
      <c r="J81" s="202" t="s">
        <v>602</v>
      </c>
      <c r="L81" s="301"/>
      <c r="M81" s="202"/>
      <c r="N81" s="301"/>
      <c r="O81" s="203"/>
    </row>
    <row r="82" spans="2:15" s="177" customFormat="1" ht="15.95" hidden="1" customHeight="1" x14ac:dyDescent="0.15">
      <c r="B82" s="457"/>
      <c r="C82" s="168"/>
      <c r="D82" s="217"/>
      <c r="E82" s="202"/>
      <c r="G82" s="457"/>
      <c r="H82" s="168"/>
      <c r="I82" s="457"/>
      <c r="J82" s="168"/>
      <c r="L82" s="301"/>
      <c r="M82" s="202"/>
      <c r="N82" s="301"/>
      <c r="O82" s="203"/>
    </row>
    <row r="83" spans="2:15" s="177" customFormat="1" ht="15.95" hidden="1" customHeight="1" x14ac:dyDescent="0.15">
      <c r="B83" s="457" t="s">
        <v>864</v>
      </c>
      <c r="C83" s="168" t="s">
        <v>4</v>
      </c>
      <c r="D83" s="462" t="s">
        <v>968</v>
      </c>
      <c r="G83" s="457"/>
      <c r="H83" s="168"/>
      <c r="I83" s="457"/>
      <c r="J83" s="168"/>
      <c r="L83" s="2"/>
      <c r="M83" s="159"/>
      <c r="N83" s="27"/>
      <c r="O83" s="203"/>
    </row>
    <row r="84" spans="2:15" s="177" customFormat="1" ht="15.95" hidden="1" customHeight="1" x14ac:dyDescent="0.15">
      <c r="C84" s="168" t="s">
        <v>4</v>
      </c>
      <c r="D84" s="302">
        <f>(D81+I81)</f>
        <v>66427.672854374992</v>
      </c>
      <c r="E84" s="202" t="s">
        <v>1078</v>
      </c>
      <c r="G84" s="457"/>
      <c r="H84" s="168"/>
      <c r="I84" s="457"/>
      <c r="J84" s="168"/>
      <c r="L84" s="2"/>
      <c r="M84" s="463"/>
      <c r="N84" s="2"/>
      <c r="O84" s="203"/>
    </row>
    <row r="85" spans="2:15" s="177" customFormat="1" ht="15.95" hidden="1" customHeight="1" x14ac:dyDescent="0.15">
      <c r="B85" s="457"/>
      <c r="C85" s="168"/>
      <c r="D85" s="217"/>
      <c r="E85" s="202"/>
      <c r="G85" s="457"/>
      <c r="H85" s="168"/>
      <c r="I85" s="457"/>
      <c r="J85" s="168"/>
      <c r="L85" s="301"/>
      <c r="M85" s="202"/>
      <c r="N85" s="301"/>
      <c r="O85" s="203"/>
    </row>
    <row r="86" spans="2:15" s="177" customFormat="1" ht="15.95" hidden="1" customHeight="1" x14ac:dyDescent="0.15">
      <c r="B86" s="457" t="s">
        <v>969</v>
      </c>
      <c r="C86" s="168" t="s">
        <v>4</v>
      </c>
      <c r="D86" s="457" t="s">
        <v>970</v>
      </c>
      <c r="F86" s="203"/>
      <c r="G86" s="457" t="s">
        <v>971</v>
      </c>
      <c r="H86" s="168" t="s">
        <v>4</v>
      </c>
      <c r="I86" s="457" t="s">
        <v>972</v>
      </c>
      <c r="L86" s="301"/>
      <c r="O86" s="202"/>
    </row>
    <row r="87" spans="2:15" s="177" customFormat="1" ht="15.95" hidden="1" customHeight="1" x14ac:dyDescent="0.15">
      <c r="C87" s="168" t="s">
        <v>4</v>
      </c>
      <c r="D87" s="166">
        <f>D81*(3*D66^2-4*D68^2)/(24*D69*D70)</f>
        <v>0.25107991585764916</v>
      </c>
      <c r="E87" s="202" t="s">
        <v>562</v>
      </c>
      <c r="H87" s="168" t="s">
        <v>4</v>
      </c>
      <c r="I87" s="166">
        <f>(5*I71*D66^4)/(384*D69*D70)</f>
        <v>5.3662040384979341E-2</v>
      </c>
      <c r="J87" s="202" t="s">
        <v>562</v>
      </c>
      <c r="L87" s="196"/>
      <c r="O87" s="203"/>
    </row>
    <row r="88" spans="2:15" s="177" customFormat="1" ht="15.95" hidden="1" customHeight="1" x14ac:dyDescent="0.15">
      <c r="D88" s="252"/>
      <c r="E88" s="196"/>
      <c r="F88" s="203"/>
      <c r="J88" s="303"/>
      <c r="K88" s="196"/>
    </row>
    <row r="89" spans="2:15" s="177" customFormat="1" ht="15.95" hidden="1" customHeight="1" x14ac:dyDescent="0.15">
      <c r="B89" s="457" t="s">
        <v>868</v>
      </c>
      <c r="C89" s="168" t="s">
        <v>4</v>
      </c>
      <c r="D89" s="457" t="s">
        <v>973</v>
      </c>
      <c r="L89" s="2"/>
      <c r="M89" s="464"/>
      <c r="N89" s="27"/>
    </row>
    <row r="90" spans="2:15" s="177" customFormat="1" ht="15.95" hidden="1" customHeight="1" x14ac:dyDescent="0.15">
      <c r="C90" s="168" t="s">
        <v>4</v>
      </c>
      <c r="D90" s="304">
        <f>D87+I87</f>
        <v>0.30474195624262851</v>
      </c>
      <c r="E90" s="202" t="s">
        <v>562</v>
      </c>
      <c r="L90" s="2"/>
      <c r="M90" s="463"/>
      <c r="N90" s="2"/>
    </row>
    <row r="91" spans="2:15" s="177" customFormat="1" ht="15.95" hidden="1" customHeight="1" x14ac:dyDescent="0.15">
      <c r="C91" s="168"/>
    </row>
    <row r="92" spans="2:15" s="177" customFormat="1" ht="15.95" hidden="1" customHeight="1" x14ac:dyDescent="0.15">
      <c r="C92" s="168"/>
    </row>
    <row r="93" spans="2:15" s="177" customFormat="1" ht="15.95" hidden="1" customHeight="1" x14ac:dyDescent="0.15">
      <c r="B93" s="177" t="s">
        <v>746</v>
      </c>
    </row>
    <row r="94" spans="2:15" s="177" customFormat="1" ht="15.95" hidden="1" customHeight="1" x14ac:dyDescent="0.15">
      <c r="B94" s="456"/>
    </row>
    <row r="95" spans="2:15" s="177" customFormat="1" ht="15.95" hidden="1" customHeight="1" x14ac:dyDescent="0.15">
      <c r="B95" s="461" t="str">
        <f>IF(D103 &lt;&gt; 0, L102, "")</f>
        <v>( UPPER )</v>
      </c>
      <c r="C95" s="461" t="str">
        <f>IF(M102=1, L104,L105)</f>
        <v>·  Simpley Supported Beam W/ Uniformly Distributed Load, Decreasing @ Both Eeds</v>
      </c>
    </row>
    <row r="96" spans="2:15" s="177" customFormat="1" ht="15.95" hidden="1" customHeight="1" x14ac:dyDescent="0.15">
      <c r="B96" s="461" t="str">
        <f>IF(D104&lt;&gt;0, L103, "")</f>
        <v xml:space="preserve">( BOTTOM ) </v>
      </c>
      <c r="C96" s="461" t="str">
        <f>IF(D104=0, "", IF(M103=1, L104, L105))</f>
        <v>·  Simpley Supported Beam W/ Distributed Load Increasing Toward Center</v>
      </c>
    </row>
    <row r="97" spans="2:18" s="177" customFormat="1" ht="15.95" hidden="1" customHeight="1" x14ac:dyDescent="0.15"/>
    <row r="98" spans="2:18" s="177" customFormat="1" ht="15.95" hidden="1" customHeight="1" x14ac:dyDescent="0.15">
      <c r="B98" s="197" t="s">
        <v>724</v>
      </c>
      <c r="N98" s="305" t="s">
        <v>747</v>
      </c>
      <c r="O98" s="292" t="str">
        <f>HLOOKUP(P98,V232:Y233,2,FALSE)</f>
        <v>사다리+삼각</v>
      </c>
      <c r="P98" s="170">
        <f>VLOOKUP("TRUE", O99:P102, 2, FALSE)</f>
        <v>2</v>
      </c>
    </row>
    <row r="99" spans="2:18" s="177" customFormat="1" ht="15.95" hidden="1" customHeight="1" x14ac:dyDescent="0.15">
      <c r="G99" s="813"/>
      <c r="H99" s="813"/>
      <c r="I99" s="813"/>
      <c r="O99" s="307" t="b">
        <f>IF(AND(D102&lt;=D103, D102 &gt; D104),"TRUE", FALSE)</f>
        <v>0</v>
      </c>
      <c r="P99" s="307">
        <v>1</v>
      </c>
    </row>
    <row r="100" spans="2:18" s="177" customFormat="1" ht="15.95" hidden="1" customHeight="1" x14ac:dyDescent="0.15">
      <c r="B100" s="457" t="s">
        <v>655</v>
      </c>
      <c r="C100" s="168" t="s">
        <v>4</v>
      </c>
      <c r="D100" s="205">
        <f>ABS(D5)</f>
        <v>0</v>
      </c>
      <c r="E100" s="167" t="s">
        <v>560</v>
      </c>
      <c r="G100" s="813"/>
      <c r="H100" s="813"/>
      <c r="I100" s="813"/>
      <c r="O100" s="308" t="str">
        <f>IF(AND(D102&gt;D103, D102&lt;=D104), "TRUE")</f>
        <v>TRUE</v>
      </c>
      <c r="P100" s="308">
        <v>2</v>
      </c>
    </row>
    <row r="101" spans="2:18" s="177" customFormat="1" ht="15.95" hidden="1" customHeight="1" x14ac:dyDescent="0.15">
      <c r="B101" s="457"/>
      <c r="C101" s="168" t="s">
        <v>4</v>
      </c>
      <c r="D101" s="309">
        <f>D100/1000</f>
        <v>0</v>
      </c>
      <c r="E101" s="167" t="s">
        <v>783</v>
      </c>
      <c r="G101" s="813"/>
      <c r="H101" s="813"/>
      <c r="I101" s="813"/>
      <c r="O101" s="308" t="b">
        <f>IF(AND(D102&gt;D103, D102&gt;D104), "TRUE")</f>
        <v>0</v>
      </c>
      <c r="P101" s="308">
        <v>3</v>
      </c>
    </row>
    <row r="102" spans="2:18" s="177" customFormat="1" ht="15.95" hidden="1" customHeight="1" x14ac:dyDescent="0.15">
      <c r="B102" s="457" t="s">
        <v>2</v>
      </c>
      <c r="C102" s="168" t="s">
        <v>4</v>
      </c>
      <c r="D102" s="268">
        <f>D9</f>
        <v>1500</v>
      </c>
      <c r="E102" s="167" t="s">
        <v>572</v>
      </c>
      <c r="G102" s="813"/>
      <c r="H102" s="813"/>
      <c r="I102" s="813"/>
      <c r="L102" s="456" t="s">
        <v>748</v>
      </c>
      <c r="M102" s="193">
        <f>IF(D103&gt;=D102, 1, 2)</f>
        <v>2</v>
      </c>
      <c r="O102" s="308" t="b">
        <f>IF(AND(D102&lt;=D103, D102&lt;=D104), "TRUE")</f>
        <v>0</v>
      </c>
      <c r="P102" s="308">
        <v>4</v>
      </c>
    </row>
    <row r="103" spans="2:18" s="177" customFormat="1" ht="15.95" hidden="1" customHeight="1" x14ac:dyDescent="0.15">
      <c r="B103" s="457" t="s">
        <v>861</v>
      </c>
      <c r="C103" s="168" t="s">
        <v>4</v>
      </c>
      <c r="D103" s="268">
        <f>D10</f>
        <v>650</v>
      </c>
      <c r="E103" s="167" t="s">
        <v>572</v>
      </c>
      <c r="G103" s="813"/>
      <c r="H103" s="813"/>
      <c r="I103" s="813"/>
      <c r="L103" s="456" t="s">
        <v>749</v>
      </c>
      <c r="M103" s="193">
        <f>IF(D104&gt;=D102, 1, 2)</f>
        <v>1</v>
      </c>
    </row>
    <row r="104" spans="2:18" s="177" customFormat="1" ht="15.95" hidden="1" customHeight="1" x14ac:dyDescent="0.15">
      <c r="B104" s="457" t="s">
        <v>863</v>
      </c>
      <c r="C104" s="168" t="s">
        <v>4</v>
      </c>
      <c r="D104" s="268">
        <f>D11</f>
        <v>1700</v>
      </c>
      <c r="E104" s="167" t="s">
        <v>572</v>
      </c>
      <c r="G104" s="813"/>
      <c r="H104" s="813"/>
      <c r="I104" s="813"/>
      <c r="L104" s="456" t="s">
        <v>750</v>
      </c>
    </row>
    <row r="105" spans="2:18" s="177" customFormat="1" ht="15.95" hidden="1" customHeight="1" x14ac:dyDescent="0.15">
      <c r="B105" s="457" t="s">
        <v>849</v>
      </c>
      <c r="C105" s="168" t="s">
        <v>4</v>
      </c>
      <c r="D105" s="268">
        <f>D6</f>
        <v>210000</v>
      </c>
      <c r="E105" s="167" t="s">
        <v>561</v>
      </c>
      <c r="G105" s="813"/>
      <c r="H105" s="813"/>
      <c r="I105" s="813"/>
      <c r="L105" s="456" t="s">
        <v>751</v>
      </c>
    </row>
    <row r="106" spans="2:18" s="177" customFormat="1" ht="15.95" hidden="1" customHeight="1" x14ac:dyDescent="0.15">
      <c r="B106" s="457" t="s">
        <v>881</v>
      </c>
      <c r="C106" s="168" t="s">
        <v>4</v>
      </c>
      <c r="D106" s="268">
        <f>D22</f>
        <v>775178.66666666663</v>
      </c>
      <c r="E106" s="177" t="s">
        <v>943</v>
      </c>
      <c r="G106" s="813"/>
      <c r="H106" s="813"/>
      <c r="I106" s="813"/>
    </row>
    <row r="107" spans="2:18" s="177" customFormat="1" ht="15.95" hidden="1" customHeight="1" x14ac:dyDescent="0.15">
      <c r="B107" s="457" t="s">
        <v>980</v>
      </c>
      <c r="C107" s="168" t="s">
        <v>4</v>
      </c>
      <c r="D107" s="457" t="str">
        <f>Q112</f>
        <v>W.L × a₁</v>
      </c>
      <c r="G107" s="813"/>
      <c r="H107" s="813"/>
      <c r="I107" s="813"/>
    </row>
    <row r="108" spans="2:18" s="177" customFormat="1" ht="15.95" hidden="1" customHeight="1" x14ac:dyDescent="0.15">
      <c r="B108" s="457"/>
      <c r="C108" s="168" t="s">
        <v>4</v>
      </c>
      <c r="D108" s="166">
        <f>Q111</f>
        <v>0</v>
      </c>
      <c r="E108" s="167" t="s">
        <v>946</v>
      </c>
      <c r="G108" s="813"/>
      <c r="H108" s="813"/>
      <c r="I108" s="813"/>
    </row>
    <row r="109" spans="2:18" s="177" customFormat="1" ht="15.95" hidden="1" customHeight="1" x14ac:dyDescent="0.15">
      <c r="B109" s="457" t="s">
        <v>981</v>
      </c>
      <c r="C109" s="168" t="s">
        <v>4</v>
      </c>
      <c r="D109" s="457" t="str">
        <f>Q114</f>
        <v>( W.L × L ) / 2</v>
      </c>
      <c r="G109" s="813"/>
      <c r="H109" s="813"/>
      <c r="I109" s="813"/>
    </row>
    <row r="110" spans="2:18" s="177" customFormat="1" ht="15.95" hidden="1" customHeight="1" x14ac:dyDescent="0.15">
      <c r="C110" s="168" t="s">
        <v>4</v>
      </c>
      <c r="D110" s="166">
        <f>Q113</f>
        <v>0</v>
      </c>
      <c r="E110" s="167" t="s">
        <v>946</v>
      </c>
      <c r="G110" s="813"/>
      <c r="H110" s="813"/>
      <c r="I110" s="813"/>
    </row>
    <row r="111" spans="2:18" s="177" customFormat="1" ht="15.95" hidden="1" customHeight="1" x14ac:dyDescent="0.15">
      <c r="L111" s="465" t="s">
        <v>980</v>
      </c>
      <c r="M111" s="466" t="s">
        <v>982</v>
      </c>
      <c r="N111" s="311">
        <f>(D101*D102/2)</f>
        <v>0</v>
      </c>
      <c r="O111" s="467" t="s">
        <v>983</v>
      </c>
      <c r="Q111" s="468">
        <f>IF($D$103&gt;$D$102, N111, N112)</f>
        <v>0</v>
      </c>
      <c r="R111" s="469"/>
    </row>
    <row r="112" spans="2:18" s="177" customFormat="1" ht="15.95" hidden="1" customHeight="1" x14ac:dyDescent="0.15">
      <c r="B112" s="457" t="s">
        <v>984</v>
      </c>
      <c r="C112" s="168" t="s">
        <v>4</v>
      </c>
      <c r="D112" s="457" t="s">
        <v>985</v>
      </c>
      <c r="G112" s="457" t="s">
        <v>986</v>
      </c>
      <c r="H112" s="168" t="s">
        <v>4</v>
      </c>
      <c r="I112" s="457" t="s">
        <v>987</v>
      </c>
      <c r="L112" s="465"/>
      <c r="M112" s="466" t="s">
        <v>988</v>
      </c>
      <c r="N112" s="311">
        <f>D101*(D103/2)</f>
        <v>0</v>
      </c>
      <c r="O112" s="467" t="s">
        <v>989</v>
      </c>
      <c r="Q112" s="470" t="str">
        <f>IF($D$103&gt;=$D$102, O111, O112)</f>
        <v>W.L × a₁</v>
      </c>
      <c r="R112" s="469"/>
    </row>
    <row r="113" spans="2:18" s="177" customFormat="1" ht="15.95" hidden="1" customHeight="1" x14ac:dyDescent="0.15">
      <c r="B113" s="457"/>
      <c r="C113" s="168" t="s">
        <v>4</v>
      </c>
      <c r="D113" s="268">
        <f>D103/2</f>
        <v>325</v>
      </c>
      <c r="E113" s="167" t="s">
        <v>572</v>
      </c>
      <c r="G113" s="457"/>
      <c r="H113" s="168" t="s">
        <v>4</v>
      </c>
      <c r="I113" s="268">
        <f>D104/2</f>
        <v>850</v>
      </c>
      <c r="J113" s="167" t="s">
        <v>572</v>
      </c>
      <c r="L113" s="465" t="s">
        <v>981</v>
      </c>
      <c r="M113" s="466" t="s">
        <v>990</v>
      </c>
      <c r="N113" s="311">
        <f>(D101*D102/2)</f>
        <v>0</v>
      </c>
      <c r="O113" s="467" t="s">
        <v>983</v>
      </c>
      <c r="Q113" s="468">
        <f>IF($D$104&gt;$D$102, N113, N114)</f>
        <v>0</v>
      </c>
      <c r="R113" s="469"/>
    </row>
    <row r="114" spans="2:18" s="177" customFormat="1" ht="15.95" hidden="1" customHeight="1" x14ac:dyDescent="0.15">
      <c r="B114" s="457"/>
      <c r="C114" s="168"/>
      <c r="D114" s="217"/>
      <c r="G114" s="457"/>
      <c r="H114" s="168"/>
      <c r="I114" s="217"/>
      <c r="L114" s="457"/>
      <c r="M114" s="466" t="s">
        <v>991</v>
      </c>
      <c r="N114" s="311">
        <f>D101*(D104/2)</f>
        <v>0</v>
      </c>
      <c r="O114" s="467" t="s">
        <v>992</v>
      </c>
      <c r="Q114" s="470" t="str">
        <f>IF($D$104&gt;=$D$102, O113, O114)</f>
        <v>( W.L × L ) / 2</v>
      </c>
      <c r="R114" s="469"/>
    </row>
    <row r="115" spans="2:18" s="177" customFormat="1" ht="15.95" hidden="1" customHeight="1" x14ac:dyDescent="0.15">
      <c r="B115" s="197" t="s">
        <v>740</v>
      </c>
      <c r="Q115" s="471"/>
      <c r="R115" s="469"/>
    </row>
    <row r="116" spans="2:18" s="177" customFormat="1" ht="15.95" hidden="1" customHeight="1" x14ac:dyDescent="0.15">
      <c r="Q116" s="471"/>
      <c r="R116" s="469"/>
    </row>
    <row r="117" spans="2:18" s="177" customFormat="1" ht="15.95" hidden="1" customHeight="1" x14ac:dyDescent="0.15">
      <c r="B117" s="457" t="s">
        <v>954</v>
      </c>
      <c r="C117" s="168" t="s">
        <v>4</v>
      </c>
      <c r="D117" s="457" t="s">
        <v>955</v>
      </c>
      <c r="E117" s="168"/>
      <c r="G117" s="457" t="s">
        <v>956</v>
      </c>
      <c r="H117" s="168" t="s">
        <v>4</v>
      </c>
      <c r="I117" s="457" t="s">
        <v>957</v>
      </c>
      <c r="J117" s="168"/>
      <c r="L117" s="465" t="s">
        <v>954</v>
      </c>
      <c r="M117" s="466" t="s">
        <v>982</v>
      </c>
      <c r="N117" s="317">
        <f>(D108*D102)/4</f>
        <v>0</v>
      </c>
      <c r="O117" s="467" t="s">
        <v>993</v>
      </c>
      <c r="Q117" s="468">
        <f>IF($D$103&gt;$D$102, N117, N118)</f>
        <v>0</v>
      </c>
    </row>
    <row r="118" spans="2:18" s="177" customFormat="1" ht="15.95" hidden="1" customHeight="1" x14ac:dyDescent="0.15">
      <c r="B118" s="457"/>
      <c r="C118" s="168" t="s">
        <v>4</v>
      </c>
      <c r="D118" s="457" t="str">
        <f>Q118</f>
        <v>w₁ ( L - a₁ ) / 2</v>
      </c>
      <c r="E118" s="168"/>
      <c r="F118" s="457"/>
      <c r="G118" s="457"/>
      <c r="H118" s="168" t="s">
        <v>4</v>
      </c>
      <c r="I118" s="457" t="str">
        <f>Q120</f>
        <v>( w₂ × L ) / 4</v>
      </c>
      <c r="J118" s="168"/>
      <c r="L118" s="318"/>
      <c r="M118" s="466" t="s">
        <v>988</v>
      </c>
      <c r="N118" s="317">
        <f>(D108*(D102-D113)/2)</f>
        <v>0</v>
      </c>
      <c r="O118" s="467" t="s">
        <v>994</v>
      </c>
      <c r="Q118" s="470" t="str">
        <f>IF($D$103&gt;=$D$102, O117, O118)</f>
        <v>w₁ ( L - a₁ ) / 2</v>
      </c>
      <c r="R118" s="469"/>
    </row>
    <row r="119" spans="2:18" s="177" customFormat="1" ht="15.95" hidden="1" customHeight="1" x14ac:dyDescent="0.15">
      <c r="B119" s="457"/>
      <c r="C119" s="168" t="s">
        <v>4</v>
      </c>
      <c r="D119" s="268">
        <f>Q117</f>
        <v>0</v>
      </c>
      <c r="E119" s="202" t="s">
        <v>580</v>
      </c>
      <c r="F119" s="457"/>
      <c r="G119" s="457"/>
      <c r="H119" s="168" t="s">
        <v>4</v>
      </c>
      <c r="I119" s="268">
        <f>Q119</f>
        <v>0</v>
      </c>
      <c r="J119" s="202" t="s">
        <v>580</v>
      </c>
      <c r="L119" s="465" t="s">
        <v>956</v>
      </c>
      <c r="M119" s="466" t="s">
        <v>990</v>
      </c>
      <c r="N119" s="317">
        <f>(D110*D102)/4</f>
        <v>0</v>
      </c>
      <c r="O119" s="467" t="s">
        <v>995</v>
      </c>
      <c r="Q119" s="468">
        <f>IF($D$104&gt;$D$102, N119, N120)</f>
        <v>0</v>
      </c>
    </row>
    <row r="120" spans="2:18" s="177" customFormat="1" ht="15.95" hidden="1" customHeight="1" x14ac:dyDescent="0.15">
      <c r="B120" s="457"/>
      <c r="C120" s="168"/>
      <c r="D120" s="217"/>
      <c r="F120" s="457"/>
      <c r="G120" s="457"/>
      <c r="H120" s="168"/>
      <c r="I120" s="217"/>
      <c r="L120" s="202"/>
      <c r="M120" s="466" t="s">
        <v>991</v>
      </c>
      <c r="N120" s="317">
        <f>(D110*(D102-I113)/2)</f>
        <v>0</v>
      </c>
      <c r="O120" s="467" t="s">
        <v>996</v>
      </c>
      <c r="Q120" s="470" t="str">
        <f>IF($D$104&gt;=$D$102, O119, O120)</f>
        <v>( w₂ × L ) / 4</v>
      </c>
      <c r="R120" s="469"/>
    </row>
    <row r="121" spans="2:18" s="177" customFormat="1" ht="15.95" hidden="1" customHeight="1" x14ac:dyDescent="0.15">
      <c r="B121" s="457" t="s">
        <v>997</v>
      </c>
      <c r="C121" s="168" t="s">
        <v>4</v>
      </c>
      <c r="D121" s="457" t="s">
        <v>998</v>
      </c>
      <c r="F121" s="457"/>
      <c r="Q121" s="471"/>
      <c r="R121" s="469"/>
    </row>
    <row r="122" spans="2:18" s="177" customFormat="1" ht="15.95" hidden="1" customHeight="1" x14ac:dyDescent="0.15">
      <c r="B122" s="457"/>
      <c r="C122" s="168" t="s">
        <v>4</v>
      </c>
      <c r="D122" s="268">
        <f>D119+I119</f>
        <v>0</v>
      </c>
      <c r="E122" s="202" t="s">
        <v>580</v>
      </c>
      <c r="F122" s="457"/>
      <c r="L122" s="202"/>
      <c r="M122" s="172"/>
      <c r="Q122" s="471"/>
      <c r="R122" s="469"/>
    </row>
    <row r="123" spans="2:18" s="177" customFormat="1" ht="15.95" hidden="1" customHeight="1" x14ac:dyDescent="0.15">
      <c r="B123" s="457"/>
      <c r="C123" s="168"/>
      <c r="D123" s="457"/>
      <c r="E123" s="168"/>
      <c r="F123" s="457"/>
      <c r="L123" s="202"/>
      <c r="M123" s="318"/>
      <c r="N123" s="193"/>
      <c r="Q123" s="471"/>
      <c r="R123" s="469"/>
    </row>
    <row r="124" spans="2:18" s="177" customFormat="1" ht="15.95" hidden="1" customHeight="1" x14ac:dyDescent="0.15">
      <c r="B124" s="457" t="s">
        <v>999</v>
      </c>
      <c r="C124" s="168" t="s">
        <v>4</v>
      </c>
      <c r="D124" s="453" t="s">
        <v>1000</v>
      </c>
      <c r="E124" s="168"/>
      <c r="G124" s="167"/>
      <c r="L124" s="2"/>
      <c r="M124" s="159"/>
      <c r="N124" s="27"/>
      <c r="Q124" s="471"/>
      <c r="R124" s="469"/>
    </row>
    <row r="125" spans="2:18" s="177" customFormat="1" ht="15.95" hidden="1" customHeight="1" x14ac:dyDescent="0.15">
      <c r="B125" s="457"/>
      <c r="C125" s="168" t="s">
        <v>4</v>
      </c>
      <c r="D125" s="457" t="s">
        <v>997</v>
      </c>
      <c r="E125" s="168"/>
      <c r="F125" s="457"/>
      <c r="L125" s="2"/>
      <c r="M125" s="463"/>
      <c r="N125" s="2"/>
      <c r="Q125" s="471"/>
      <c r="R125" s="469"/>
    </row>
    <row r="126" spans="2:18" s="177" customFormat="1" ht="15.95" hidden="1" customHeight="1" x14ac:dyDescent="0.15">
      <c r="B126" s="457"/>
      <c r="C126" s="168" t="s">
        <v>4</v>
      </c>
      <c r="D126" s="268">
        <f>D122</f>
        <v>0</v>
      </c>
      <c r="E126" s="202" t="s">
        <v>580</v>
      </c>
      <c r="F126" s="457"/>
      <c r="L126" s="2"/>
      <c r="M126" s="464"/>
      <c r="N126" s="27"/>
      <c r="Q126" s="471"/>
      <c r="R126" s="469"/>
    </row>
    <row r="127" spans="2:18" s="177" customFormat="1" ht="15.95" hidden="1" customHeight="1" x14ac:dyDescent="0.15">
      <c r="B127" s="457"/>
      <c r="C127" s="168"/>
      <c r="D127" s="453"/>
      <c r="E127" s="168"/>
      <c r="F127" s="457"/>
      <c r="L127" s="2"/>
      <c r="M127" s="463"/>
      <c r="N127" s="2"/>
      <c r="O127" s="202"/>
      <c r="Q127" s="471"/>
      <c r="R127" s="469"/>
    </row>
    <row r="128" spans="2:18" s="177" customFormat="1" ht="15.95" hidden="1" customHeight="1" x14ac:dyDescent="0.15">
      <c r="B128" s="457" t="s">
        <v>1001</v>
      </c>
      <c r="C128" s="168" t="s">
        <v>4</v>
      </c>
      <c r="D128" s="457" t="str">
        <f>Q129</f>
        <v>w₁ (  3L² - 4a₁² ) / 24</v>
      </c>
      <c r="E128" s="168"/>
      <c r="G128" s="457" t="s">
        <v>1002</v>
      </c>
      <c r="H128" s="168" t="s">
        <v>4</v>
      </c>
      <c r="I128" s="457" t="str">
        <f>Q131</f>
        <v>( w₂ × L²  ) / 12</v>
      </c>
      <c r="J128" s="202"/>
      <c r="L128" s="465" t="s">
        <v>1003</v>
      </c>
      <c r="M128" s="466" t="s">
        <v>982</v>
      </c>
      <c r="N128" s="319">
        <f>(D108*D102^2)/12</f>
        <v>0</v>
      </c>
      <c r="O128" s="472" t="s">
        <v>1004</v>
      </c>
      <c r="Q128" s="468">
        <f>IF($D$103&gt;$D$102, N128, N129)</f>
        <v>0</v>
      </c>
    </row>
    <row r="129" spans="1:18" s="177" customFormat="1" ht="15.95" hidden="1" customHeight="1" x14ac:dyDescent="0.15">
      <c r="B129" s="457"/>
      <c r="C129" s="168" t="s">
        <v>4</v>
      </c>
      <c r="D129" s="268">
        <f>Q128</f>
        <v>0</v>
      </c>
      <c r="E129" s="167" t="s">
        <v>602</v>
      </c>
      <c r="G129" s="457"/>
      <c r="H129" s="168" t="s">
        <v>4</v>
      </c>
      <c r="I129" s="268">
        <f>Q130</f>
        <v>0</v>
      </c>
      <c r="J129" s="167" t="s">
        <v>602</v>
      </c>
      <c r="L129" s="318"/>
      <c r="M129" s="466" t="s">
        <v>988</v>
      </c>
      <c r="N129" s="319">
        <f>D108*(3*D102^2-4*D113^2)/24</f>
        <v>0</v>
      </c>
      <c r="O129" s="472" t="s">
        <v>1005</v>
      </c>
      <c r="Q129" s="470" t="str">
        <f>IF($D$103&gt;=$D$102, O128, O129)</f>
        <v>w₁ (  3L² - 4a₁² ) / 24</v>
      </c>
      <c r="R129" s="469"/>
    </row>
    <row r="130" spans="1:18" s="177" customFormat="1" ht="15.95" hidden="1" customHeight="1" x14ac:dyDescent="0.15">
      <c r="B130" s="457"/>
      <c r="C130" s="168"/>
      <c r="D130" s="217"/>
      <c r="E130" s="202"/>
      <c r="L130" s="465" t="s">
        <v>1006</v>
      </c>
      <c r="M130" s="466" t="s">
        <v>990</v>
      </c>
      <c r="N130" s="319">
        <f>(D110*D102^2)/12</f>
        <v>0</v>
      </c>
      <c r="O130" s="472" t="s">
        <v>1007</v>
      </c>
      <c r="Q130" s="468">
        <f>IF($D$104&gt;$D$102, N130, N131)</f>
        <v>0</v>
      </c>
    </row>
    <row r="131" spans="1:18" s="177" customFormat="1" ht="15.95" hidden="1" customHeight="1" x14ac:dyDescent="0.15">
      <c r="B131" s="457" t="s">
        <v>867</v>
      </c>
      <c r="C131" s="168" t="s">
        <v>4</v>
      </c>
      <c r="D131" s="462" t="s">
        <v>1008</v>
      </c>
      <c r="E131" s="202"/>
      <c r="L131" s="202"/>
      <c r="M131" s="466" t="s">
        <v>991</v>
      </c>
      <c r="N131" s="319">
        <f>D110*(3*D102^2-4*I113^2)/24</f>
        <v>0</v>
      </c>
      <c r="O131" s="472" t="s">
        <v>1009</v>
      </c>
      <c r="Q131" s="470" t="str">
        <f>IF($D$104&gt;=$D$102, O130, O131)</f>
        <v>( w₂ × L²  ) / 12</v>
      </c>
      <c r="R131" s="469"/>
    </row>
    <row r="132" spans="1:18" s="177" customFormat="1" ht="15.95" hidden="1" customHeight="1" x14ac:dyDescent="0.15">
      <c r="B132" s="457"/>
      <c r="C132" s="168" t="s">
        <v>4</v>
      </c>
      <c r="D132" s="302">
        <f>(D129+I129)</f>
        <v>0</v>
      </c>
      <c r="E132" s="202" t="s">
        <v>1078</v>
      </c>
      <c r="L132" s="203"/>
      <c r="M132" s="318"/>
      <c r="N132" s="203"/>
      <c r="Q132" s="471"/>
      <c r="R132" s="469"/>
    </row>
    <row r="133" spans="1:18" s="177" customFormat="1" ht="15.95" hidden="1" customHeight="1" x14ac:dyDescent="0.15">
      <c r="B133" s="457"/>
      <c r="C133" s="168"/>
      <c r="D133" s="457"/>
      <c r="E133" s="168"/>
      <c r="M133" s="318"/>
      <c r="Q133" s="471"/>
      <c r="R133" s="469"/>
    </row>
    <row r="134" spans="1:18" s="177" customFormat="1" ht="15.95" hidden="1" customHeight="1" x14ac:dyDescent="0.15">
      <c r="B134" s="457" t="s">
        <v>1010</v>
      </c>
      <c r="C134" s="168" t="s">
        <v>4</v>
      </c>
      <c r="D134" s="457" t="str">
        <f>Q135</f>
        <v>w₁ ( 5L² - 4a₁² )² / 1920EI</v>
      </c>
      <c r="F134" s="203"/>
      <c r="G134" s="457" t="s">
        <v>1011</v>
      </c>
      <c r="H134" s="168" t="s">
        <v>4</v>
      </c>
      <c r="I134" s="457" t="str">
        <f>Q137</f>
        <v>( w₂× L⁴ ) / 120 EI</v>
      </c>
      <c r="L134" s="465" t="s">
        <v>1003</v>
      </c>
      <c r="M134" s="466" t="s">
        <v>982</v>
      </c>
      <c r="N134" s="321">
        <f>(D108*D102^4)/(120*D105*D106)</f>
        <v>0</v>
      </c>
      <c r="O134" s="472" t="s">
        <v>1012</v>
      </c>
      <c r="Q134" s="473">
        <f>IF($D$103&gt;$D$102, N134, N135)</f>
        <v>0</v>
      </c>
    </row>
    <row r="135" spans="1:18" s="177" customFormat="1" ht="15.95" hidden="1" customHeight="1" x14ac:dyDescent="0.15">
      <c r="C135" s="168" t="s">
        <v>4</v>
      </c>
      <c r="D135" s="166">
        <f>Q134</f>
        <v>0</v>
      </c>
      <c r="E135" s="167" t="s">
        <v>572</v>
      </c>
      <c r="H135" s="168" t="s">
        <v>4</v>
      </c>
      <c r="I135" s="166">
        <f>Q136</f>
        <v>0</v>
      </c>
      <c r="J135" s="167" t="s">
        <v>572</v>
      </c>
      <c r="L135" s="318"/>
      <c r="M135" s="466" t="s">
        <v>988</v>
      </c>
      <c r="N135" s="321">
        <f>D108*(5*D102^2-4*D113^2)^2/(1920*D105*D106)</f>
        <v>0</v>
      </c>
      <c r="O135" s="472" t="s">
        <v>1013</v>
      </c>
      <c r="Q135" s="470" t="str">
        <f>IF($D$103&gt;=$D$102, O134, O135)</f>
        <v>w₁ ( 5L² - 4a₁² )² / 1920EI</v>
      </c>
      <c r="R135" s="469"/>
    </row>
    <row r="136" spans="1:18" s="177" customFormat="1" ht="15.95" hidden="1" customHeight="1" x14ac:dyDescent="0.15">
      <c r="C136" s="318"/>
      <c r="D136" s="299"/>
      <c r="I136" s="196"/>
      <c r="L136" s="465" t="s">
        <v>1006</v>
      </c>
      <c r="M136" s="466" t="s">
        <v>990</v>
      </c>
      <c r="N136" s="321">
        <f>(D110*D102^4)/(120*D105*D106)</f>
        <v>0</v>
      </c>
      <c r="O136" s="472" t="s">
        <v>1014</v>
      </c>
      <c r="Q136" s="473">
        <f>IF($D$104&gt;$D$102, N136, N137)</f>
        <v>0</v>
      </c>
    </row>
    <row r="137" spans="1:18" s="177" customFormat="1" ht="15.95" hidden="1" customHeight="1" x14ac:dyDescent="0.15">
      <c r="B137" s="457" t="s">
        <v>870</v>
      </c>
      <c r="C137" s="168" t="s">
        <v>4</v>
      </c>
      <c r="D137" s="457" t="s">
        <v>1015</v>
      </c>
      <c r="I137" s="196"/>
      <c r="L137" s="202"/>
      <c r="M137" s="466" t="s">
        <v>991</v>
      </c>
      <c r="N137" s="321">
        <f>D110*(5*D102^2-4*I113^2)^2/(1920*D105*D106)</f>
        <v>0</v>
      </c>
      <c r="O137" s="472" t="s">
        <v>1016</v>
      </c>
      <c r="Q137" s="470" t="str">
        <f>IF($D$104&gt;=$D$102, O136, O137)</f>
        <v>( w₂× L⁴ ) / 120 EI</v>
      </c>
      <c r="R137" s="469"/>
    </row>
    <row r="138" spans="1:18" s="177" customFormat="1" ht="15.95" hidden="1" customHeight="1" x14ac:dyDescent="0.15">
      <c r="C138" s="168" t="s">
        <v>4</v>
      </c>
      <c r="D138" s="323">
        <f>D135+I135</f>
        <v>0</v>
      </c>
      <c r="E138" s="167" t="s">
        <v>572</v>
      </c>
      <c r="I138" s="196"/>
    </row>
    <row r="139" spans="1:18" s="177" customFormat="1" ht="15.95" hidden="1" customHeight="1" x14ac:dyDescent="0.15">
      <c r="A139" s="167"/>
      <c r="B139" s="3" t="s">
        <v>189</v>
      </c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93"/>
    </row>
    <row r="140" spans="1:18" s="177" customFormat="1" ht="15.95" hidden="1" customHeight="1" x14ac:dyDescent="0.15">
      <c r="A140" s="167"/>
      <c r="B140" s="3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93"/>
    </row>
    <row r="141" spans="1:18" s="177" customFormat="1" ht="15.95" hidden="1" customHeight="1" x14ac:dyDescent="0.15">
      <c r="A141" s="167"/>
      <c r="B141" s="167" t="s">
        <v>752</v>
      </c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93"/>
    </row>
    <row r="142" spans="1:18" s="177" customFormat="1" ht="15.95" hidden="1" customHeight="1" x14ac:dyDescent="0.15">
      <c r="A142" s="167"/>
      <c r="B142" s="3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93"/>
    </row>
    <row r="143" spans="1:18" s="177" customFormat="1" ht="15.95" hidden="1" customHeight="1" x14ac:dyDescent="0.15">
      <c r="B143" s="204" t="s">
        <v>177</v>
      </c>
      <c r="C143" s="168"/>
      <c r="D143" s="166"/>
      <c r="G143" s="217"/>
    </row>
    <row r="144" spans="1:18" s="177" customFormat="1" ht="15.95" hidden="1" customHeight="1" x14ac:dyDescent="0.15">
      <c r="C144" s="193"/>
    </row>
    <row r="145" spans="1:14" s="177" customFormat="1" ht="15.95" hidden="1" customHeight="1" thickBot="1" x14ac:dyDescent="0.2">
      <c r="B145" s="456" t="s">
        <v>1050</v>
      </c>
      <c r="C145" s="168" t="s">
        <v>4</v>
      </c>
      <c r="D145" s="217">
        <f>D84/D25</f>
        <v>6.3149298093611197</v>
      </c>
      <c r="E145" s="177" t="s">
        <v>783</v>
      </c>
      <c r="G145" s="462" t="s">
        <v>1218</v>
      </c>
      <c r="M145" s="168" t="s">
        <v>753</v>
      </c>
    </row>
    <row r="146" spans="1:14" s="177" customFormat="1" ht="15.95" hidden="1" customHeight="1" thickBot="1" x14ac:dyDescent="0.2">
      <c r="C146" s="193"/>
      <c r="D146" s="448"/>
      <c r="M146" s="474" t="e">
        <f>VLOOKUP(#REF!,#REF!,2,0)</f>
        <v>#REF!</v>
      </c>
    </row>
    <row r="147" spans="1:14" s="177" customFormat="1" ht="15.95" hidden="1" customHeight="1" x14ac:dyDescent="0.15">
      <c r="C147" s="193"/>
      <c r="D147" s="448"/>
    </row>
    <row r="148" spans="1:14" s="177" customFormat="1" ht="15.95" hidden="1" customHeight="1" x14ac:dyDescent="0.15">
      <c r="B148" s="204" t="s">
        <v>178</v>
      </c>
      <c r="C148" s="193"/>
      <c r="D148" s="448"/>
    </row>
    <row r="149" spans="1:14" s="177" customFormat="1" ht="15.95" hidden="1" customHeight="1" x14ac:dyDescent="0.15">
      <c r="C149" s="193"/>
      <c r="D149" s="448"/>
      <c r="L149" s="161">
        <f>L1</f>
        <v>1</v>
      </c>
      <c r="M149" s="8"/>
      <c r="N149" s="8"/>
    </row>
    <row r="150" spans="1:14" s="177" customFormat="1" ht="15.95" hidden="1" customHeight="1" x14ac:dyDescent="0.15">
      <c r="B150" s="456" t="s">
        <v>1133</v>
      </c>
      <c r="C150" s="168" t="s">
        <v>4</v>
      </c>
      <c r="D150" s="217">
        <f>IF(L149=L150,M150,M151)</f>
        <v>275</v>
      </c>
      <c r="E150" s="177" t="s">
        <v>783</v>
      </c>
      <c r="G150" s="217" t="str">
        <f>IF(L149=L150,N150,N151)</f>
        <v>( SS 275  Yield Strength )</v>
      </c>
      <c r="L150" s="433">
        <v>1</v>
      </c>
      <c r="M150" s="428">
        <v>275</v>
      </c>
      <c r="N150" s="217" t="s">
        <v>1084</v>
      </c>
    </row>
    <row r="151" spans="1:14" s="177" customFormat="1" ht="15.95" hidden="1" customHeight="1" x14ac:dyDescent="0.15">
      <c r="B151" s="456" t="s">
        <v>1052</v>
      </c>
      <c r="C151" s="168" t="s">
        <v>4</v>
      </c>
      <c r="D151" s="475" t="s">
        <v>843</v>
      </c>
      <c r="E151" s="476"/>
      <c r="F151" s="166"/>
      <c r="G151" s="166"/>
      <c r="J151" s="166"/>
      <c r="K151" s="166"/>
      <c r="L151" s="433">
        <v>2</v>
      </c>
      <c r="M151" s="428">
        <v>205</v>
      </c>
      <c r="N151" s="217" t="s">
        <v>1083</v>
      </c>
    </row>
    <row r="152" spans="1:14" s="177" customFormat="1" ht="15.95" hidden="1" customHeight="1" x14ac:dyDescent="0.15">
      <c r="B152" s="196"/>
      <c r="C152" s="168" t="s">
        <v>4</v>
      </c>
      <c r="D152" s="217">
        <f>0.66*D150</f>
        <v>181.5</v>
      </c>
      <c r="E152" s="177" t="s">
        <v>783</v>
      </c>
      <c r="G152" s="166"/>
      <c r="H152" s="166"/>
      <c r="I152" s="166"/>
      <c r="J152" s="166"/>
      <c r="K152" s="166"/>
    </row>
    <row r="153" spans="1:14" s="177" customFormat="1" ht="15.95" hidden="1" customHeight="1" x14ac:dyDescent="0.15">
      <c r="B153" s="196"/>
      <c r="C153" s="168"/>
      <c r="D153" s="217"/>
      <c r="G153" s="166"/>
      <c r="H153" s="166"/>
      <c r="I153" s="166"/>
      <c r="J153" s="166"/>
      <c r="K153" s="166"/>
    </row>
    <row r="154" spans="1:14" s="177" customFormat="1" ht="15.95" hidden="1" customHeight="1" x14ac:dyDescent="0.15"/>
    <row r="155" spans="1:14" s="177" customFormat="1" ht="15.95" hidden="1" customHeight="1" x14ac:dyDescent="0.15">
      <c r="B155" s="204" t="s">
        <v>187</v>
      </c>
      <c r="C155" s="166"/>
      <c r="E155" s="166"/>
      <c r="F155" s="166"/>
      <c r="G155" s="166"/>
      <c r="H155" s="166"/>
      <c r="I155" s="166"/>
      <c r="J155" s="166"/>
      <c r="K155" s="166"/>
      <c r="L155" s="166"/>
      <c r="M155" s="193"/>
    </row>
    <row r="156" spans="1:14" ht="15.95" hidden="1" customHeight="1" x14ac:dyDescent="0.15"/>
    <row r="157" spans="1:14" s="177" customFormat="1" ht="15.95" hidden="1" customHeight="1" x14ac:dyDescent="0.15">
      <c r="B157" s="476" t="s">
        <v>1055</v>
      </c>
      <c r="C157" s="168" t="s">
        <v>4</v>
      </c>
      <c r="D157" s="205">
        <f>D145/D152</f>
        <v>3.479300170446898E-2</v>
      </c>
      <c r="E157" s="206" t="str">
        <f>IF(D157&gt;F157,"&gt;","&lt;")</f>
        <v>&lt;</v>
      </c>
      <c r="F157" s="207">
        <v>1</v>
      </c>
      <c r="G157" s="208" t="str">
        <f>IF(D157&lt;F157,"O.K.","N.G.")</f>
        <v>O.K.</v>
      </c>
      <c r="J157" s="166"/>
      <c r="K157" s="166"/>
      <c r="L157" s="166"/>
      <c r="M157" s="193"/>
    </row>
    <row r="158" spans="1:14" s="177" customFormat="1" ht="15.95" hidden="1" customHeight="1" x14ac:dyDescent="0.15">
      <c r="B158" s="476"/>
      <c r="C158" s="168"/>
      <c r="D158" s="205"/>
      <c r="E158" s="206"/>
      <c r="F158" s="207"/>
      <c r="G158" s="207"/>
      <c r="J158" s="166"/>
      <c r="K158" s="166"/>
      <c r="L158" s="166"/>
      <c r="M158" s="193"/>
    </row>
    <row r="159" spans="1:14" s="177" customFormat="1" ht="15.95" hidden="1" customHeight="1" x14ac:dyDescent="0.15">
      <c r="A159" s="167"/>
      <c r="B159" s="167" t="s">
        <v>754</v>
      </c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93"/>
    </row>
    <row r="160" spans="1:14" s="177" customFormat="1" ht="15.95" hidden="1" customHeight="1" x14ac:dyDescent="0.15">
      <c r="A160" s="167"/>
      <c r="B160" s="3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93"/>
    </row>
    <row r="161" spans="2:14" s="177" customFormat="1" ht="15.95" hidden="1" customHeight="1" x14ac:dyDescent="0.15">
      <c r="B161" s="204" t="s">
        <v>177</v>
      </c>
      <c r="C161" s="168"/>
      <c r="D161" s="166"/>
      <c r="G161" s="217"/>
    </row>
    <row r="162" spans="2:14" s="177" customFormat="1" ht="15.95" hidden="1" customHeight="1" x14ac:dyDescent="0.15">
      <c r="C162" s="193"/>
    </row>
    <row r="163" spans="2:14" s="177" customFormat="1" ht="15.95" hidden="1" customHeight="1" thickBot="1" x14ac:dyDescent="0.2">
      <c r="B163" s="456" t="s">
        <v>1050</v>
      </c>
      <c r="C163" s="168" t="s">
        <v>4</v>
      </c>
      <c r="D163" s="217">
        <f>(0.85*D132)/D26</f>
        <v>0</v>
      </c>
      <c r="E163" s="177" t="s">
        <v>783</v>
      </c>
      <c r="G163" s="462" t="s">
        <v>1219</v>
      </c>
      <c r="M163" s="168" t="s">
        <v>753</v>
      </c>
    </row>
    <row r="164" spans="2:14" s="177" customFormat="1" ht="15.95" hidden="1" customHeight="1" thickBot="1" x14ac:dyDescent="0.2">
      <c r="C164" s="193"/>
      <c r="D164" s="448"/>
      <c r="M164" s="474" t="e">
        <f>VLOOKUP(#REF!,#REF!,2,0)</f>
        <v>#REF!</v>
      </c>
    </row>
    <row r="165" spans="2:14" s="177" customFormat="1" ht="15.95" hidden="1" customHeight="1" x14ac:dyDescent="0.15">
      <c r="C165" s="193"/>
      <c r="D165" s="448"/>
    </row>
    <row r="166" spans="2:14" s="177" customFormat="1" ht="15.95" hidden="1" customHeight="1" x14ac:dyDescent="0.15">
      <c r="B166" s="204" t="s">
        <v>178</v>
      </c>
      <c r="C166" s="193"/>
      <c r="D166" s="448"/>
    </row>
    <row r="167" spans="2:14" s="177" customFormat="1" ht="15.95" hidden="1" customHeight="1" x14ac:dyDescent="0.15">
      <c r="C167" s="193"/>
      <c r="D167" s="448"/>
      <c r="L167" s="161">
        <f>L149</f>
        <v>1</v>
      </c>
      <c r="M167" s="8"/>
      <c r="N167" s="8"/>
    </row>
    <row r="168" spans="2:14" s="177" customFormat="1" ht="15.95" hidden="1" customHeight="1" x14ac:dyDescent="0.15">
      <c r="B168" s="456" t="s">
        <v>1133</v>
      </c>
      <c r="C168" s="168" t="s">
        <v>4</v>
      </c>
      <c r="D168" s="217">
        <f>IF(L167=L168,M168,M169)</f>
        <v>275</v>
      </c>
      <c r="E168" s="177" t="s">
        <v>783</v>
      </c>
      <c r="G168" s="217" t="str">
        <f>IF(L167=L168,N168,N169)</f>
        <v>( SS 275  Yield Strength )</v>
      </c>
      <c r="L168" s="433">
        <v>1</v>
      </c>
      <c r="M168" s="428">
        <v>275</v>
      </c>
      <c r="N168" s="217" t="s">
        <v>1084</v>
      </c>
    </row>
    <row r="169" spans="2:14" s="177" customFormat="1" ht="15.95" hidden="1" customHeight="1" x14ac:dyDescent="0.15">
      <c r="B169" s="456" t="s">
        <v>1052</v>
      </c>
      <c r="C169" s="168" t="s">
        <v>4</v>
      </c>
      <c r="D169" s="475" t="s">
        <v>843</v>
      </c>
      <c r="E169" s="476"/>
      <c r="F169" s="166"/>
      <c r="G169" s="166"/>
      <c r="J169" s="166"/>
      <c r="K169" s="166"/>
      <c r="L169" s="433">
        <v>2</v>
      </c>
      <c r="M169" s="428">
        <v>205</v>
      </c>
      <c r="N169" s="217" t="s">
        <v>1083</v>
      </c>
    </row>
    <row r="170" spans="2:14" s="177" customFormat="1" ht="15.95" hidden="1" customHeight="1" x14ac:dyDescent="0.15">
      <c r="B170" s="196"/>
      <c r="C170" s="168" t="s">
        <v>4</v>
      </c>
      <c r="D170" s="217">
        <f>0.66*D168</f>
        <v>181.5</v>
      </c>
      <c r="E170" s="177" t="s">
        <v>783</v>
      </c>
      <c r="G170" s="166"/>
      <c r="H170" s="166"/>
      <c r="I170" s="166"/>
      <c r="J170" s="166"/>
      <c r="K170" s="166"/>
    </row>
    <row r="171" spans="2:14" s="177" customFormat="1" ht="15.95" hidden="1" customHeight="1" x14ac:dyDescent="0.15">
      <c r="B171" s="196"/>
      <c r="C171" s="168"/>
      <c r="D171" s="217"/>
      <c r="G171" s="166"/>
      <c r="H171" s="166"/>
      <c r="I171" s="166"/>
      <c r="J171" s="166"/>
      <c r="K171" s="166"/>
    </row>
    <row r="172" spans="2:14" s="177" customFormat="1" ht="15.95" hidden="1" customHeight="1" x14ac:dyDescent="0.15"/>
    <row r="173" spans="2:14" s="177" customFormat="1" ht="15.95" hidden="1" customHeight="1" x14ac:dyDescent="0.15">
      <c r="B173" s="204" t="s">
        <v>187</v>
      </c>
      <c r="C173" s="166"/>
      <c r="E173" s="166"/>
      <c r="F173" s="166"/>
      <c r="G173" s="166"/>
      <c r="H173" s="166"/>
      <c r="I173" s="166"/>
      <c r="J173" s="166"/>
      <c r="K173" s="166"/>
      <c r="L173" s="166"/>
      <c r="M173" s="193"/>
    </row>
    <row r="174" spans="2:14" ht="15.95" hidden="1" customHeight="1" x14ac:dyDescent="0.15"/>
    <row r="175" spans="2:14" s="177" customFormat="1" ht="15.95" hidden="1" customHeight="1" x14ac:dyDescent="0.15">
      <c r="B175" s="476" t="s">
        <v>1055</v>
      </c>
      <c r="C175" s="168" t="s">
        <v>4</v>
      </c>
      <c r="D175" s="205">
        <f>D163/D170</f>
        <v>0</v>
      </c>
      <c r="E175" s="206" t="str">
        <f>IF(D175&gt;F175,"&gt;","&lt;")</f>
        <v>&lt;</v>
      </c>
      <c r="F175" s="207">
        <v>1</v>
      </c>
      <c r="G175" s="208" t="str">
        <f>IF(D175&lt;F175,"O.K.","N.G.")</f>
        <v>O.K.</v>
      </c>
      <c r="J175" s="166"/>
      <c r="K175" s="166"/>
      <c r="L175" s="166"/>
      <c r="M175" s="193"/>
    </row>
    <row r="176" spans="2:14" s="177" customFormat="1" ht="15.95" hidden="1" customHeight="1" x14ac:dyDescent="0.15">
      <c r="B176" s="476"/>
      <c r="C176" s="168"/>
      <c r="D176" s="205"/>
      <c r="E176" s="206"/>
      <c r="F176" s="207"/>
      <c r="G176" s="207"/>
      <c r="J176" s="166"/>
      <c r="K176" s="166"/>
      <c r="L176" s="166"/>
      <c r="M176" s="193"/>
    </row>
    <row r="177" spans="1:16" s="177" customFormat="1" ht="15.95" hidden="1" customHeight="1" x14ac:dyDescent="0.15">
      <c r="B177" s="476"/>
      <c r="C177" s="168"/>
      <c r="D177" s="205"/>
      <c r="E177" s="206"/>
      <c r="F177" s="207"/>
      <c r="G177" s="207"/>
      <c r="J177" s="166"/>
      <c r="K177" s="166"/>
      <c r="L177" s="166"/>
      <c r="M177" s="193"/>
    </row>
    <row r="178" spans="1:16" s="177" customFormat="1" ht="15.95" hidden="1" customHeight="1" x14ac:dyDescent="0.15">
      <c r="B178" s="476"/>
      <c r="C178" s="168"/>
      <c r="D178" s="205"/>
      <c r="E178" s="206"/>
      <c r="F178" s="207"/>
      <c r="G178" s="207"/>
      <c r="J178" s="166"/>
      <c r="K178" s="166"/>
      <c r="L178" s="166"/>
      <c r="M178" s="193"/>
    </row>
    <row r="179" spans="1:16" s="177" customFormat="1" ht="15.95" hidden="1" customHeight="1" x14ac:dyDescent="0.15">
      <c r="B179" s="476"/>
      <c r="C179" s="168"/>
      <c r="D179" s="205"/>
      <c r="E179" s="206"/>
      <c r="F179" s="207"/>
      <c r="G179" s="207"/>
      <c r="J179" s="166"/>
      <c r="K179" s="166"/>
      <c r="L179" s="166"/>
      <c r="M179" s="193"/>
    </row>
    <row r="180" spans="1:16" s="177" customFormat="1" ht="15.95" hidden="1" customHeight="1" x14ac:dyDescent="0.15">
      <c r="B180" s="476"/>
      <c r="C180" s="168"/>
      <c r="D180" s="205"/>
      <c r="E180" s="206"/>
      <c r="F180" s="207"/>
      <c r="G180" s="207"/>
      <c r="J180" s="166"/>
      <c r="K180" s="166"/>
      <c r="L180" s="166"/>
      <c r="M180" s="193"/>
    </row>
    <row r="181" spans="1:16" s="177" customFormat="1" ht="15.95" hidden="1" customHeight="1" x14ac:dyDescent="0.15">
      <c r="B181" s="476"/>
      <c r="C181" s="168"/>
      <c r="D181" s="205"/>
      <c r="E181" s="206"/>
      <c r="F181" s="207"/>
      <c r="G181" s="207"/>
      <c r="J181" s="166"/>
      <c r="K181" s="166"/>
      <c r="L181" s="166"/>
      <c r="M181" s="193"/>
    </row>
    <row r="182" spans="1:16" s="177" customFormat="1" ht="15.95" hidden="1" customHeight="1" x14ac:dyDescent="0.15">
      <c r="B182" s="476"/>
      <c r="C182" s="168"/>
      <c r="D182" s="205"/>
      <c r="E182" s="206"/>
      <c r="F182" s="207"/>
      <c r="G182" s="207"/>
      <c r="J182" s="166"/>
      <c r="K182" s="166"/>
      <c r="L182" s="166"/>
      <c r="M182" s="193"/>
    </row>
    <row r="183" spans="1:16" s="177" customFormat="1" ht="15.95" hidden="1" customHeight="1" x14ac:dyDescent="0.15">
      <c r="B183" s="476"/>
      <c r="C183" s="168"/>
      <c r="D183" s="205"/>
      <c r="E183" s="206"/>
      <c r="F183" s="207"/>
      <c r="G183" s="207"/>
      <c r="J183" s="166"/>
      <c r="K183" s="166"/>
      <c r="L183" s="166"/>
      <c r="M183" s="193"/>
    </row>
    <row r="184" spans="1:16" s="177" customFormat="1" ht="15.95" hidden="1" customHeight="1" x14ac:dyDescent="0.15">
      <c r="B184" s="476"/>
      <c r="C184" s="168"/>
      <c r="D184" s="205"/>
      <c r="E184" s="206"/>
      <c r="F184" s="207"/>
      <c r="G184" s="207"/>
      <c r="J184" s="166"/>
      <c r="K184" s="166"/>
      <c r="L184" s="166"/>
      <c r="M184" s="193"/>
    </row>
    <row r="185" spans="1:16" ht="15.95" hidden="1" customHeight="1" x14ac:dyDescent="0.15">
      <c r="B185" s="8" t="s">
        <v>190</v>
      </c>
      <c r="M185" s="166"/>
    </row>
    <row r="186" spans="1:16" ht="15.95" hidden="1" customHeight="1" x14ac:dyDescent="0.15">
      <c r="H186" s="193"/>
      <c r="I186" s="177"/>
      <c r="J186" s="177"/>
      <c r="K186" s="177"/>
      <c r="L186" s="177"/>
      <c r="M186" s="177"/>
      <c r="N186" s="177"/>
      <c r="O186" s="177"/>
      <c r="P186" s="177"/>
    </row>
    <row r="187" spans="1:16" s="177" customFormat="1" ht="15.95" hidden="1" customHeight="1" x14ac:dyDescent="0.15">
      <c r="A187" s="167"/>
      <c r="B187" s="177" t="s">
        <v>717</v>
      </c>
      <c r="C187" s="167"/>
      <c r="D187" s="167"/>
      <c r="E187" s="167"/>
      <c r="F187" s="167"/>
      <c r="G187" s="167"/>
      <c r="H187" s="193"/>
      <c r="I187" s="324"/>
    </row>
    <row r="188" spans="1:16" ht="15.95" hidden="1" customHeight="1" x14ac:dyDescent="0.15">
      <c r="H188" s="193"/>
      <c r="I188" s="177"/>
      <c r="J188" s="177"/>
      <c r="K188" s="177"/>
      <c r="L188" s="177"/>
      <c r="M188" s="196"/>
      <c r="N188" s="177"/>
      <c r="O188" s="177"/>
      <c r="P188" s="177"/>
    </row>
    <row r="189" spans="1:16" ht="15.95" hidden="1" customHeight="1" x14ac:dyDescent="0.15">
      <c r="B189" s="204" t="s">
        <v>192</v>
      </c>
      <c r="H189" s="177"/>
      <c r="I189" s="177"/>
      <c r="J189" s="177"/>
      <c r="K189" s="202"/>
      <c r="L189" s="177"/>
      <c r="M189" s="196"/>
      <c r="N189" s="177"/>
      <c r="O189" s="177"/>
      <c r="P189" s="177"/>
    </row>
    <row r="190" spans="1:16" ht="15.95" hidden="1" customHeight="1" x14ac:dyDescent="0.15">
      <c r="B190" s="204"/>
      <c r="H190" s="177"/>
      <c r="I190" s="177"/>
      <c r="J190" s="177"/>
      <c r="K190" s="177"/>
      <c r="L190" s="177"/>
      <c r="M190" s="196"/>
      <c r="N190" s="177"/>
      <c r="O190" s="177"/>
      <c r="P190" s="177"/>
    </row>
    <row r="191" spans="1:16" ht="15.95" hidden="1" customHeight="1" x14ac:dyDescent="0.15">
      <c r="B191" s="476" t="s">
        <v>1063</v>
      </c>
      <c r="C191" s="168" t="s">
        <v>4</v>
      </c>
      <c r="D191" s="166">
        <f>D14</f>
        <v>0.30474195624262851</v>
      </c>
      <c r="E191" s="166" t="s">
        <v>562</v>
      </c>
      <c r="M191" s="166"/>
    </row>
    <row r="192" spans="1:16" ht="15.95" hidden="1" customHeight="1" x14ac:dyDescent="0.15">
      <c r="B192" s="198"/>
      <c r="C192" s="205"/>
      <c r="D192" s="299"/>
      <c r="G192" s="198"/>
      <c r="L192" s="198"/>
      <c r="M192" s="166"/>
    </row>
    <row r="193" spans="1:20" ht="15.95" hidden="1" customHeight="1" x14ac:dyDescent="0.15">
      <c r="B193" s="204" t="s">
        <v>191</v>
      </c>
      <c r="E193" s="166" t="s">
        <v>755</v>
      </c>
      <c r="M193" s="166"/>
    </row>
    <row r="194" spans="1:20" ht="15.95" hidden="1" customHeight="1" x14ac:dyDescent="0.15">
      <c r="M194" s="166"/>
    </row>
    <row r="195" spans="1:20" ht="15.95" hidden="1" customHeight="1" x14ac:dyDescent="0.15">
      <c r="B195" s="476" t="s">
        <v>1066</v>
      </c>
      <c r="C195" s="168" t="s">
        <v>4</v>
      </c>
      <c r="D195" s="166">
        <f>E33</f>
        <v>3</v>
      </c>
      <c r="E195" s="166" t="s">
        <v>562</v>
      </c>
      <c r="F195" s="203" t="str">
        <f>VLOOKUP(D195,L195:M196,2)</f>
        <v>( 1 / 8" : Fix Window )</v>
      </c>
      <c r="L195" s="272">
        <v>1.5</v>
      </c>
      <c r="M195" s="198" t="s">
        <v>756</v>
      </c>
    </row>
    <row r="196" spans="1:20" ht="15.95" hidden="1" customHeight="1" x14ac:dyDescent="0.15">
      <c r="L196" s="272">
        <v>3</v>
      </c>
      <c r="M196" s="198" t="s">
        <v>757</v>
      </c>
    </row>
    <row r="197" spans="1:20" ht="15.95" hidden="1" customHeight="1" x14ac:dyDescent="0.15">
      <c r="B197" s="204" t="s">
        <v>198</v>
      </c>
      <c r="M197" s="166"/>
    </row>
    <row r="198" spans="1:20" ht="15.95" hidden="1" customHeight="1" x14ac:dyDescent="0.15">
      <c r="L198" s="177"/>
      <c r="M198" s="166"/>
    </row>
    <row r="199" spans="1:20" s="168" customFormat="1" ht="15.95" hidden="1" customHeight="1" x14ac:dyDescent="0.15">
      <c r="A199" s="177"/>
      <c r="B199" s="476" t="s">
        <v>1070</v>
      </c>
      <c r="C199" s="168" t="s">
        <v>4</v>
      </c>
      <c r="D199" s="205">
        <f>D191/(D195)</f>
        <v>0.10158065208087617</v>
      </c>
      <c r="E199" s="206" t="str">
        <f>IF(D199&gt;F199,"&gt;","&lt;")</f>
        <v>&lt;</v>
      </c>
      <c r="F199" s="207">
        <v>1</v>
      </c>
      <c r="G199" s="208" t="str">
        <f>IF(D199&lt;F199,"O.K.","N.G.")</f>
        <v>O.K.</v>
      </c>
      <c r="H199" s="167"/>
      <c r="I199" s="167"/>
      <c r="J199" s="167"/>
      <c r="K199" s="167"/>
      <c r="L199" s="167"/>
      <c r="N199" s="166"/>
      <c r="O199" s="166"/>
      <c r="P199" s="166"/>
      <c r="Q199" s="166"/>
      <c r="R199" s="166"/>
      <c r="S199" s="166"/>
      <c r="T199" s="166"/>
    </row>
    <row r="200" spans="1:20" ht="15.95" hidden="1" customHeight="1" x14ac:dyDescent="0.15">
      <c r="L200" s="177"/>
      <c r="M200" s="166"/>
    </row>
    <row r="201" spans="1:20" ht="15.95" hidden="1" customHeight="1" x14ac:dyDescent="0.15">
      <c r="L201" s="177"/>
      <c r="M201" s="166"/>
    </row>
    <row r="202" spans="1:20" s="177" customFormat="1" ht="15.95" hidden="1" customHeight="1" x14ac:dyDescent="0.15">
      <c r="A202" s="167"/>
      <c r="B202" s="177" t="s">
        <v>746</v>
      </c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325"/>
      <c r="N202" s="325"/>
      <c r="O202" s="326"/>
    </row>
    <row r="203" spans="1:20" ht="15.95" hidden="1" customHeight="1" x14ac:dyDescent="0.15">
      <c r="L203" s="177"/>
      <c r="M203" s="166"/>
    </row>
    <row r="204" spans="1:20" ht="15.95" hidden="1" customHeight="1" x14ac:dyDescent="0.15">
      <c r="B204" s="204" t="s">
        <v>192</v>
      </c>
      <c r="M204" s="166"/>
    </row>
    <row r="205" spans="1:20" ht="15.95" hidden="1" customHeight="1" x14ac:dyDescent="0.15">
      <c r="B205" s="204"/>
      <c r="M205" s="166"/>
    </row>
    <row r="206" spans="1:20" ht="15.95" hidden="1" customHeight="1" x14ac:dyDescent="0.15">
      <c r="B206" s="476" t="s">
        <v>1063</v>
      </c>
      <c r="C206" s="168" t="s">
        <v>4</v>
      </c>
      <c r="D206" s="166">
        <f>D15</f>
        <v>0</v>
      </c>
      <c r="E206" s="166" t="s">
        <v>562</v>
      </c>
      <c r="M206" s="166"/>
    </row>
    <row r="207" spans="1:20" ht="15.95" hidden="1" customHeight="1" x14ac:dyDescent="0.15">
      <c r="B207" s="198"/>
      <c r="C207" s="205"/>
      <c r="D207" s="299"/>
      <c r="M207" s="166"/>
    </row>
    <row r="208" spans="1:20" ht="15.95" hidden="1" customHeight="1" x14ac:dyDescent="0.15">
      <c r="L208" s="177"/>
      <c r="M208" s="166"/>
    </row>
    <row r="209" spans="1:20" ht="15.95" hidden="1" customHeight="1" x14ac:dyDescent="0.15">
      <c r="B209" s="204" t="s">
        <v>191</v>
      </c>
      <c r="E209" s="166" t="s">
        <v>195</v>
      </c>
      <c r="M209" s="166"/>
    </row>
    <row r="210" spans="1:20" ht="15.95" hidden="1" customHeight="1" x14ac:dyDescent="0.15">
      <c r="B210" s="204"/>
      <c r="M210" s="166"/>
    </row>
    <row r="211" spans="1:20" ht="15.95" hidden="1" customHeight="1" x14ac:dyDescent="0.15">
      <c r="B211" s="476" t="s">
        <v>2</v>
      </c>
      <c r="C211" s="168" t="s">
        <v>4</v>
      </c>
      <c r="D211" s="268">
        <f>D9</f>
        <v>1500</v>
      </c>
      <c r="E211" s="166" t="str">
        <f>IF(D211&gt;4110,"mm      &gt;     4110 mm","mm     ≤     4110 mm")</f>
        <v>mm     ≤     4110 mm</v>
      </c>
      <c r="L211" s="198" t="s">
        <v>196</v>
      </c>
      <c r="M211" s="295">
        <f>D211/240+6.35</f>
        <v>12.6</v>
      </c>
    </row>
    <row r="212" spans="1:20" ht="15.95" hidden="1" customHeight="1" x14ac:dyDescent="0.15">
      <c r="B212" s="476" t="s">
        <v>1066</v>
      </c>
      <c r="C212" s="168" t="s">
        <v>4</v>
      </c>
      <c r="D212" s="174">
        <f>D211</f>
        <v>1500</v>
      </c>
      <c r="E212" s="197" t="str">
        <f>IF(D211&lt;4110,"mm      /     175 ","mm      /      240 + 6.35 mm ")</f>
        <v xml:space="preserve">mm      /     175 </v>
      </c>
      <c r="L212" s="198" t="s">
        <v>197</v>
      </c>
      <c r="M212" s="295">
        <f>D211/175</f>
        <v>8.5714285714285712</v>
      </c>
    </row>
    <row r="213" spans="1:20" ht="15.95" hidden="1" customHeight="1" x14ac:dyDescent="0.15">
      <c r="B213" s="327"/>
      <c r="C213" s="168" t="s">
        <v>4</v>
      </c>
      <c r="D213" s="205">
        <f>IF(D211&lt;4110,M212,M211)</f>
        <v>8.5714285714285712</v>
      </c>
      <c r="E213" s="166" t="s">
        <v>562</v>
      </c>
      <c r="M213" s="166"/>
    </row>
    <row r="214" spans="1:20" ht="15.95" hidden="1" customHeight="1" x14ac:dyDescent="0.15">
      <c r="C214" s="205"/>
      <c r="D214" s="272"/>
      <c r="M214" s="166"/>
    </row>
    <row r="215" spans="1:20" ht="15.95" hidden="1" customHeight="1" x14ac:dyDescent="0.15">
      <c r="M215" s="166"/>
    </row>
    <row r="216" spans="1:20" ht="15.95" hidden="1" customHeight="1" x14ac:dyDescent="0.15">
      <c r="B216" s="204" t="s">
        <v>198</v>
      </c>
      <c r="M216" s="166"/>
    </row>
    <row r="217" spans="1:20" s="168" customFormat="1" ht="15.95" hidden="1" customHeight="1" x14ac:dyDescent="0.15">
      <c r="A217" s="167"/>
      <c r="C217" s="167"/>
      <c r="D217" s="167"/>
      <c r="E217" s="167"/>
      <c r="F217" s="167"/>
      <c r="G217" s="167"/>
      <c r="H217" s="167"/>
      <c r="I217" s="167"/>
      <c r="J217" s="167"/>
      <c r="K217" s="167"/>
      <c r="L217" s="167"/>
      <c r="N217" s="166"/>
      <c r="O217" s="166"/>
      <c r="P217" s="166"/>
      <c r="Q217" s="166"/>
      <c r="R217" s="166"/>
      <c r="S217" s="166"/>
      <c r="T217" s="166"/>
    </row>
    <row r="218" spans="1:20" s="168" customFormat="1" ht="15.95" hidden="1" customHeight="1" x14ac:dyDescent="0.15">
      <c r="A218" s="177"/>
      <c r="B218" s="476" t="s">
        <v>1070</v>
      </c>
      <c r="C218" s="168" t="s">
        <v>4</v>
      </c>
      <c r="D218" s="205">
        <f>D206/(D213)</f>
        <v>0</v>
      </c>
      <c r="E218" s="206" t="str">
        <f>IF(D218&gt;F218,"&gt;","&lt;")</f>
        <v>&lt;</v>
      </c>
      <c r="F218" s="207">
        <v>1</v>
      </c>
      <c r="G218" s="208" t="str">
        <f>IF(D218&lt;F218,"O.K.","N.G.")</f>
        <v>O.K.</v>
      </c>
      <c r="H218" s="167"/>
      <c r="I218" s="167"/>
      <c r="J218" s="167"/>
      <c r="K218" s="167"/>
      <c r="L218" s="167"/>
      <c r="N218" s="166"/>
      <c r="O218" s="166"/>
      <c r="P218" s="166"/>
      <c r="Q218" s="166"/>
      <c r="R218" s="166"/>
      <c r="S218" s="166"/>
      <c r="T218" s="166"/>
    </row>
    <row r="219" spans="1:20" s="168" customFormat="1" ht="15.95" hidden="1" customHeight="1" x14ac:dyDescent="0.15">
      <c r="A219" s="167"/>
      <c r="B219" s="167"/>
      <c r="C219" s="167"/>
      <c r="D219" s="167"/>
      <c r="E219" s="167"/>
      <c r="F219" s="167"/>
      <c r="G219" s="167"/>
      <c r="H219" s="167"/>
      <c r="I219" s="167"/>
      <c r="J219" s="167"/>
      <c r="K219" s="167"/>
      <c r="L219" s="167"/>
      <c r="N219" s="166"/>
      <c r="O219" s="166"/>
      <c r="P219" s="166"/>
      <c r="Q219" s="166"/>
      <c r="R219" s="166"/>
      <c r="S219" s="166"/>
      <c r="T219" s="166"/>
    </row>
    <row r="220" spans="1:20" ht="15" hidden="1" customHeight="1" x14ac:dyDescent="0.15"/>
    <row r="221" spans="1:20" ht="15" hidden="1" customHeight="1" x14ac:dyDescent="0.15"/>
    <row r="224" spans="1:20" ht="15.95" customHeight="1" x14ac:dyDescent="0.15"/>
    <row r="225" spans="11:25" ht="15.95" customHeight="1" x14ac:dyDescent="0.15"/>
    <row r="226" spans="11:25" ht="15.95" customHeight="1" x14ac:dyDescent="0.15"/>
    <row r="227" spans="11:25" ht="15.95" customHeight="1" x14ac:dyDescent="0.15"/>
    <row r="228" spans="11:25" ht="15.95" customHeight="1" x14ac:dyDescent="0.15"/>
    <row r="229" spans="11:25" ht="15.95" customHeight="1" x14ac:dyDescent="0.15"/>
    <row r="230" spans="11:25" ht="15.95" customHeight="1" x14ac:dyDescent="0.15">
      <c r="K230" s="166" t="s">
        <v>715</v>
      </c>
    </row>
    <row r="231" spans="11:25" ht="15.95" customHeight="1" x14ac:dyDescent="0.15"/>
    <row r="232" spans="11:25" ht="15.95" customHeight="1" x14ac:dyDescent="0.15">
      <c r="V232" s="223">
        <v>1</v>
      </c>
      <c r="W232" s="223">
        <v>2</v>
      </c>
      <c r="X232" s="223">
        <v>3</v>
      </c>
      <c r="Y232" s="223">
        <v>4</v>
      </c>
    </row>
    <row r="233" spans="11:25" ht="15.95" customHeight="1" x14ac:dyDescent="0.15">
      <c r="V233" s="168" t="s">
        <v>758</v>
      </c>
      <c r="W233" s="168" t="s">
        <v>759</v>
      </c>
      <c r="X233" s="168" t="s">
        <v>760</v>
      </c>
      <c r="Y233" s="168" t="s">
        <v>761</v>
      </c>
    </row>
    <row r="234" spans="11:25" ht="159.94999999999999" customHeight="1" x14ac:dyDescent="0.15"/>
    <row r="235" spans="11:25" ht="15.95" customHeight="1" x14ac:dyDescent="0.15"/>
    <row r="236" spans="11:25" ht="15.95" customHeight="1" x14ac:dyDescent="0.15"/>
    <row r="237" spans="11:25" ht="15.95" customHeight="1" x14ac:dyDescent="0.15"/>
    <row r="238" spans="11:25" ht="15.95" customHeight="1" x14ac:dyDescent="0.15"/>
    <row r="239" spans="11:25" ht="15.95" customHeight="1" x14ac:dyDescent="0.15"/>
    <row r="240" spans="11:25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</sheetData>
  <sheetProtection algorithmName="SHA-512" hashValue="pBfs03VXwLoWevLAXVcDqt20XlWgiOHrpWKiOPXsnD1H8XpWwVRw9UnT+wYHi0gUx7shJTjVWRcWK8DisUFR5w==" saltValue="rxVDaMdqokDG3VV4NCfAng==" spinCount="100000" sheet="1" objects="1" scenarios="1" selectLockedCells="1"/>
  <mergeCells count="11">
    <mergeCell ref="L5:M5"/>
    <mergeCell ref="M32:N32"/>
    <mergeCell ref="B61:D61"/>
    <mergeCell ref="G61:H61"/>
    <mergeCell ref="G99:I110"/>
    <mergeCell ref="H19:I19"/>
    <mergeCell ref="B29:C29"/>
    <mergeCell ref="F29:G29"/>
    <mergeCell ref="B30:B32"/>
    <mergeCell ref="D32:E32"/>
    <mergeCell ref="A46:K46"/>
  </mergeCells>
  <phoneticPr fontId="1" type="noConversion"/>
  <conditionalFormatting sqref="B112:E113">
    <cfRule type="expression" dxfId="5" priority="2">
      <formula>$Q$111=$N$111</formula>
    </cfRule>
  </conditionalFormatting>
  <conditionalFormatting sqref="G112:J113">
    <cfRule type="expression" dxfId="4" priority="1">
      <formula>$Q$113=$N$113</formula>
    </cfRule>
  </conditionalFormatting>
  <dataValidations disablePrompts="1" count="2">
    <dataValidation type="list" allowBlank="1" showInputMessage="1" showErrorMessage="1" sqref="H20" xr:uid="{45CE6D2F-50D6-4F7C-9F95-F4A644D5BA65}">
      <formula1>$M$33:$M$34</formula1>
    </dataValidation>
    <dataValidation type="list" allowBlank="1" showInputMessage="1" showErrorMessage="1" sqref="M16" xr:uid="{D57B66D0-B6D1-40BF-A3A4-3A88CC90D1A4}">
      <formula1>O17:Q17</formula1>
    </dataValidation>
  </dataValidations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6536-5C70-429A-8DB8-6045DD89237F}">
  <sheetPr codeName="Sheet18">
    <tabColor rgb="FFFF3399"/>
  </sheetPr>
  <dimension ref="A1:BM268"/>
  <sheetViews>
    <sheetView view="pageBreakPreview" zoomScale="75" zoomScaleNormal="100" zoomScaleSheetLayoutView="75" workbookViewId="0">
      <selection activeCell="D10" sqref="D10"/>
    </sheetView>
  </sheetViews>
  <sheetFormatPr defaultColWidth="5.77734375" defaultRowHeight="15" customHeight="1" x14ac:dyDescent="0.15"/>
  <cols>
    <col min="1" max="1" width="2.77734375" style="166" customWidth="1"/>
    <col min="2" max="11" width="7.33203125" style="166" customWidth="1"/>
    <col min="12" max="12" width="2.77734375" style="166" customWidth="1"/>
    <col min="13" max="13" width="6.77734375" style="166" customWidth="1"/>
    <col min="14" max="14" width="6.77734375" style="168" customWidth="1"/>
    <col min="15" max="27" width="6.77734375" style="166" customWidth="1"/>
    <col min="28" max="16384" width="5.77734375" style="166"/>
  </cols>
  <sheetData>
    <row r="1" spans="1:23" ht="15.95" customHeight="1" x14ac:dyDescent="0.15">
      <c r="A1" s="454" t="s">
        <v>1434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8"/>
      <c r="O1" s="168"/>
      <c r="P1" s="168"/>
      <c r="Q1" s="168"/>
      <c r="R1" s="1"/>
      <c r="S1" s="1"/>
    </row>
    <row r="2" spans="1:23" ht="15.95" customHeight="1" x14ac:dyDescent="0.1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8"/>
      <c r="O2" s="168"/>
      <c r="P2" s="168"/>
      <c r="Q2" s="168"/>
      <c r="R2" s="1"/>
      <c r="S2" s="1"/>
    </row>
    <row r="3" spans="1:23" ht="15.95" customHeight="1" x14ac:dyDescent="0.15">
      <c r="A3" s="171">
        <v>666666</v>
      </c>
      <c r="B3" s="3" t="s">
        <v>1264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8"/>
      <c r="O3" s="168"/>
      <c r="P3" s="168"/>
      <c r="Q3" s="168"/>
      <c r="R3" s="1"/>
      <c r="S3" s="1"/>
    </row>
    <row r="4" spans="1:23" ht="15.95" customHeight="1" x14ac:dyDescent="0.1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8"/>
      <c r="N4" s="166"/>
    </row>
    <row r="5" spans="1:23" ht="15.95" customHeight="1" x14ac:dyDescent="0.15">
      <c r="A5" s="167"/>
      <c r="B5" s="167" t="s">
        <v>1265</v>
      </c>
      <c r="C5" s="172" t="s">
        <v>1266</v>
      </c>
      <c r="D5" s="167" t="s">
        <v>1267</v>
      </c>
      <c r="E5" s="167"/>
      <c r="F5" s="167"/>
      <c r="G5" s="167"/>
      <c r="H5" s="167"/>
      <c r="I5" s="167"/>
      <c r="J5" s="167"/>
      <c r="K5" s="167"/>
      <c r="L5" s="167"/>
      <c r="N5" s="166"/>
    </row>
    <row r="6" spans="1:23" ht="15.95" customHeight="1" x14ac:dyDescent="0.15">
      <c r="A6" s="167"/>
      <c r="B6" s="172"/>
      <c r="C6" s="172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</row>
    <row r="7" spans="1:23" ht="15.95" customHeight="1" x14ac:dyDescent="0.15">
      <c r="A7" s="167"/>
      <c r="B7" s="173" t="s">
        <v>766</v>
      </c>
      <c r="C7" s="168" t="s">
        <v>1101</v>
      </c>
      <c r="D7" s="205">
        <f>ABS(0.85*D12)*(D10/1000)*(D11/1000)</f>
        <v>0</v>
      </c>
      <c r="E7" s="167" t="s">
        <v>1102</v>
      </c>
      <c r="G7" s="167" t="s">
        <v>1432</v>
      </c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</row>
    <row r="8" spans="1:23" ht="15.95" customHeight="1" x14ac:dyDescent="0.15">
      <c r="A8" s="167"/>
      <c r="B8" s="173" t="s">
        <v>769</v>
      </c>
      <c r="C8" s="168" t="s">
        <v>1101</v>
      </c>
      <c r="D8" s="205">
        <f>ABS(D13)*(D10/1000)*(D11/1000)</f>
        <v>0.75</v>
      </c>
      <c r="E8" s="167" t="s">
        <v>1102</v>
      </c>
      <c r="G8" s="167" t="s">
        <v>1433</v>
      </c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</row>
    <row r="9" spans="1:23" ht="15.95" customHeight="1" x14ac:dyDescent="0.15">
      <c r="A9" s="167"/>
      <c r="B9" s="173"/>
      <c r="C9" s="168"/>
      <c r="D9" s="174"/>
      <c r="E9" s="175"/>
      <c r="G9" s="167"/>
      <c r="H9" s="167"/>
      <c r="J9" s="168"/>
      <c r="M9" s="167"/>
      <c r="N9" s="167"/>
      <c r="O9" s="167"/>
      <c r="P9" s="167"/>
      <c r="Q9" s="167"/>
      <c r="R9" s="167"/>
      <c r="S9" s="167"/>
      <c r="T9" s="167"/>
    </row>
    <row r="10" spans="1:23" ht="15.95" customHeight="1" x14ac:dyDescent="0.15">
      <c r="A10" s="167"/>
      <c r="B10" s="173" t="s">
        <v>1268</v>
      </c>
      <c r="C10" s="168" t="s">
        <v>1101</v>
      </c>
      <c r="D10" s="696">
        <v>1000</v>
      </c>
      <c r="E10" s="167" t="s">
        <v>1104</v>
      </c>
      <c r="G10" s="167" t="s">
        <v>1269</v>
      </c>
      <c r="H10" s="167"/>
      <c r="J10" s="168"/>
      <c r="M10" s="167"/>
      <c r="N10" s="167"/>
      <c r="O10" s="167"/>
      <c r="P10" s="167"/>
      <c r="Q10" s="167"/>
      <c r="R10" s="167"/>
      <c r="S10" s="167"/>
      <c r="T10" s="167"/>
    </row>
    <row r="11" spans="1:23" ht="15.95" customHeight="1" x14ac:dyDescent="0.15">
      <c r="A11" s="167"/>
      <c r="B11" s="173" t="s">
        <v>1270</v>
      </c>
      <c r="C11" s="168" t="s">
        <v>1101</v>
      </c>
      <c r="D11" s="696">
        <v>2500</v>
      </c>
      <c r="E11" s="175" t="s">
        <v>1104</v>
      </c>
      <c r="G11" s="167" t="s">
        <v>1271</v>
      </c>
      <c r="H11" s="167"/>
      <c r="J11" s="168"/>
      <c r="M11" s="167"/>
      <c r="N11" s="167"/>
      <c r="O11" s="167"/>
      <c r="P11" s="167"/>
      <c r="Q11" s="167"/>
      <c r="R11" s="167"/>
      <c r="S11" s="167"/>
      <c r="T11" s="167"/>
    </row>
    <row r="12" spans="1:23" ht="15.95" customHeight="1" x14ac:dyDescent="0.15">
      <c r="A12" s="167"/>
      <c r="B12" s="173" t="s">
        <v>1272</v>
      </c>
      <c r="C12" s="168" t="s">
        <v>1101</v>
      </c>
      <c r="D12" s="736">
        <f>(SUMPRODUCT((N18:N20=N17)*(O17:P17=M17),O18:P20))</f>
        <v>0</v>
      </c>
      <c r="E12" s="167" t="s">
        <v>1273</v>
      </c>
      <c r="G12" s="167" t="s">
        <v>1274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</row>
    <row r="13" spans="1:23" ht="15.95" customHeight="1" x14ac:dyDescent="0.15">
      <c r="A13" s="167"/>
      <c r="B13" s="173" t="s">
        <v>1275</v>
      </c>
      <c r="C13" s="168" t="s">
        <v>1101</v>
      </c>
      <c r="D13" s="711">
        <v>0.3</v>
      </c>
      <c r="E13" s="167" t="s">
        <v>1273</v>
      </c>
      <c r="G13" s="167" t="s">
        <v>1276</v>
      </c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W13" s="721"/>
    </row>
    <row r="14" spans="1:23" ht="15.95" customHeight="1" x14ac:dyDescent="0.15">
      <c r="A14" s="167"/>
      <c r="B14" s="173"/>
      <c r="C14" s="168"/>
      <c r="D14" s="270"/>
      <c r="E14" s="167"/>
      <c r="G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W14" s="721"/>
    </row>
    <row r="15" spans="1:23" ht="15.95" customHeight="1" x14ac:dyDescent="0.15">
      <c r="A15" s="167"/>
      <c r="B15" s="173"/>
      <c r="C15" s="168"/>
      <c r="D15" s="270"/>
      <c r="E15" s="167"/>
      <c r="G15" s="167"/>
      <c r="I15" s="167"/>
      <c r="J15" s="176"/>
      <c r="K15" s="167"/>
      <c r="L15" s="167"/>
      <c r="M15" s="167"/>
    </row>
    <row r="16" spans="1:23" ht="15.95" customHeight="1" x14ac:dyDescent="0.15">
      <c r="A16" s="167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67"/>
      <c r="M16" s="782" t="s">
        <v>651</v>
      </c>
      <c r="N16" s="782"/>
      <c r="O16" s="163"/>
      <c r="P16" s="164"/>
    </row>
    <row r="17" spans="1:21" ht="15.95" customHeight="1" x14ac:dyDescent="0.15">
      <c r="A17" s="167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67"/>
      <c r="M17" s="685" t="s">
        <v>649</v>
      </c>
      <c r="N17" s="686">
        <v>1</v>
      </c>
      <c r="O17" s="160" t="s">
        <v>649</v>
      </c>
      <c r="P17" s="160" t="s">
        <v>650</v>
      </c>
    </row>
    <row r="18" spans="1:21" ht="15.95" customHeight="1" x14ac:dyDescent="0.15">
      <c r="A18" s="167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67"/>
      <c r="M18" s="165" t="s">
        <v>557</v>
      </c>
      <c r="N18" s="161">
        <v>1</v>
      </c>
      <c r="O18" s="162" t="str">
        <f>'WIND LOAD'!T7</f>
        <v>-</v>
      </c>
      <c r="P18" s="162">
        <f>'WIND LOAD'!U7</f>
        <v>0.96</v>
      </c>
    </row>
    <row r="19" spans="1:21" ht="15.95" customHeight="1" x14ac:dyDescent="0.15">
      <c r="A19" s="167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67"/>
      <c r="M19" s="165" t="s">
        <v>558</v>
      </c>
      <c r="N19" s="161">
        <v>2</v>
      </c>
      <c r="O19" s="162" t="str">
        <f>'WIND LOAD'!T8</f>
        <v>-</v>
      </c>
      <c r="P19" s="162">
        <f>'WIND LOAD'!U8</f>
        <v>-0.82599999999999996</v>
      </c>
    </row>
    <row r="20" spans="1:21" ht="15.95" customHeight="1" thickBot="1" x14ac:dyDescent="0.2">
      <c r="A20" s="167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67"/>
      <c r="M20" s="740" t="s">
        <v>559</v>
      </c>
      <c r="N20" s="741">
        <v>3</v>
      </c>
      <c r="O20" s="742" t="str">
        <f>'WIND LOAD'!T9</f>
        <v>-</v>
      </c>
      <c r="P20" s="742">
        <f>'WIND LOAD'!U9</f>
        <v>-0.98899999999999999</v>
      </c>
    </row>
    <row r="21" spans="1:21" ht="15.95" customHeight="1" x14ac:dyDescent="0.15">
      <c r="A21" s="16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67"/>
      <c r="M21" s="840" t="s">
        <v>1254</v>
      </c>
      <c r="N21" s="853" t="s">
        <v>1243</v>
      </c>
      <c r="O21" s="853"/>
      <c r="P21" s="737">
        <v>12</v>
      </c>
      <c r="Q21" s="713" t="s">
        <v>841</v>
      </c>
    </row>
    <row r="22" spans="1:21" ht="15.95" customHeight="1" x14ac:dyDescent="0.15">
      <c r="A22" s="16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67"/>
      <c r="M22" s="841"/>
      <c r="N22" s="854" t="s">
        <v>1244</v>
      </c>
      <c r="O22" s="854"/>
      <c r="P22" s="738">
        <v>2</v>
      </c>
      <c r="Q22" s="714" t="s">
        <v>1251</v>
      </c>
    </row>
    <row r="23" spans="1:21" ht="15.95" customHeight="1" thickBot="1" x14ac:dyDescent="0.2">
      <c r="A23" s="167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67"/>
      <c r="M23" s="842"/>
      <c r="N23" s="855" t="s">
        <v>1245</v>
      </c>
      <c r="O23" s="855"/>
      <c r="P23" s="739">
        <v>2</v>
      </c>
      <c r="Q23" s="716" t="s">
        <v>1252</v>
      </c>
      <c r="R23" s="863" t="s">
        <v>1430</v>
      </c>
      <c r="S23" s="823"/>
      <c r="T23" s="823"/>
      <c r="U23" s="823"/>
    </row>
    <row r="24" spans="1:21" ht="15.95" customHeight="1" x14ac:dyDescent="0.15">
      <c r="A24" s="167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67"/>
      <c r="M24" s="856" t="s">
        <v>1428</v>
      </c>
      <c r="N24" s="864" t="s">
        <v>1427</v>
      </c>
      <c r="O24" s="864"/>
      <c r="P24" s="753">
        <v>2</v>
      </c>
      <c r="Q24" s="713" t="s">
        <v>841</v>
      </c>
      <c r="S24" s="268">
        <v>1</v>
      </c>
      <c r="T24" s="744" t="s">
        <v>1197</v>
      </c>
    </row>
    <row r="25" spans="1:21" ht="15.95" customHeight="1" thickBot="1" x14ac:dyDescent="0.2">
      <c r="A25" s="16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67"/>
      <c r="M25" s="857"/>
      <c r="N25" s="865" t="s">
        <v>1429</v>
      </c>
      <c r="O25" s="865"/>
      <c r="P25" s="715">
        <v>1</v>
      </c>
      <c r="Q25" s="716"/>
      <c r="S25" s="268">
        <v>2</v>
      </c>
      <c r="T25" s="745" t="s">
        <v>1201</v>
      </c>
    </row>
    <row r="26" spans="1:21" ht="15.95" customHeight="1" x14ac:dyDescent="0.15">
      <c r="A26" s="16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67"/>
      <c r="M26" s="840" t="s">
        <v>1253</v>
      </c>
      <c r="N26" s="843" t="s">
        <v>1246</v>
      </c>
      <c r="O26" s="843"/>
      <c r="P26" s="717">
        <f>P23</f>
        <v>2</v>
      </c>
      <c r="Q26" s="718" t="s">
        <v>1109</v>
      </c>
      <c r="S26" s="268">
        <v>3</v>
      </c>
      <c r="T26" s="745" t="s">
        <v>1180</v>
      </c>
    </row>
    <row r="27" spans="1:21" ht="15.95" customHeight="1" x14ac:dyDescent="0.15">
      <c r="A27" s="167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67"/>
      <c r="M27" s="841"/>
      <c r="N27" s="844" t="s">
        <v>1247</v>
      </c>
      <c r="O27" s="844"/>
      <c r="P27" s="738">
        <v>6</v>
      </c>
      <c r="Q27" s="719" t="s">
        <v>1104</v>
      </c>
      <c r="S27" s="268">
        <v>4</v>
      </c>
      <c r="T27" s="745" t="s">
        <v>1164</v>
      </c>
    </row>
    <row r="28" spans="1:21" ht="15.95" customHeight="1" thickBot="1" x14ac:dyDescent="0.2">
      <c r="A28" s="167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67"/>
      <c r="M28" s="841"/>
      <c r="N28" s="844" t="s">
        <v>1250</v>
      </c>
      <c r="O28" s="844"/>
      <c r="P28" s="738">
        <v>100</v>
      </c>
      <c r="Q28" s="719" t="s">
        <v>1104</v>
      </c>
      <c r="S28" s="268">
        <v>5</v>
      </c>
      <c r="T28" s="746" t="s">
        <v>1207</v>
      </c>
    </row>
    <row r="29" spans="1:21" ht="15.95" customHeight="1" x14ac:dyDescent="0.15">
      <c r="A29" s="167"/>
      <c r="L29" s="167"/>
      <c r="M29" s="841"/>
      <c r="N29" s="844" t="s">
        <v>1249</v>
      </c>
      <c r="O29" s="844"/>
      <c r="P29" s="738">
        <v>180</v>
      </c>
      <c r="Q29" s="719" t="s">
        <v>1104</v>
      </c>
    </row>
    <row r="30" spans="1:21" ht="15.95" customHeight="1" x14ac:dyDescent="0.15">
      <c r="A30" s="167"/>
      <c r="L30" s="167"/>
      <c r="M30" s="841"/>
      <c r="N30" s="844" t="s">
        <v>1248</v>
      </c>
      <c r="O30" s="844"/>
      <c r="P30" s="738">
        <v>80</v>
      </c>
      <c r="Q30" s="719" t="s">
        <v>1104</v>
      </c>
    </row>
    <row r="31" spans="1:21" ht="15.95" customHeight="1" x14ac:dyDescent="0.15">
      <c r="A31" s="167"/>
      <c r="L31" s="167"/>
      <c r="M31" s="841"/>
      <c r="N31" s="844" t="s">
        <v>1255</v>
      </c>
      <c r="O31" s="844"/>
      <c r="P31" s="738">
        <v>50</v>
      </c>
      <c r="Q31" s="719" t="s">
        <v>1104</v>
      </c>
    </row>
    <row r="32" spans="1:21" ht="15.95" customHeight="1" thickBot="1" x14ac:dyDescent="0.2">
      <c r="A32" s="167"/>
      <c r="L32" s="167"/>
      <c r="M32" s="842"/>
      <c r="N32" s="845" t="s">
        <v>1256</v>
      </c>
      <c r="O32" s="845"/>
      <c r="P32" s="739">
        <v>120</v>
      </c>
      <c r="Q32" s="720" t="s">
        <v>1104</v>
      </c>
    </row>
    <row r="33" spans="1:23" ht="15.95" customHeight="1" x14ac:dyDescent="0.15">
      <c r="A33" s="167"/>
      <c r="L33" s="167"/>
      <c r="M33" s="840" t="s">
        <v>1263</v>
      </c>
      <c r="N33" s="843" t="s">
        <v>1257</v>
      </c>
      <c r="O33" s="843"/>
      <c r="P33" s="737">
        <v>12</v>
      </c>
      <c r="Q33" s="718" t="s">
        <v>1104</v>
      </c>
    </row>
    <row r="34" spans="1:23" s="168" customFormat="1" ht="15.95" customHeight="1" x14ac:dyDescent="0.15">
      <c r="A34" s="16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67"/>
      <c r="M34" s="841"/>
      <c r="N34" s="844" t="s">
        <v>1258</v>
      </c>
      <c r="O34" s="844"/>
      <c r="P34" s="712">
        <v>2</v>
      </c>
      <c r="Q34" s="719" t="s">
        <v>1109</v>
      </c>
      <c r="R34" s="166"/>
      <c r="S34" s="166"/>
    </row>
    <row r="35" spans="1:23" s="168" customFormat="1" ht="15.95" customHeight="1" x14ac:dyDescent="0.15">
      <c r="A35" s="16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67"/>
      <c r="M35" s="841"/>
      <c r="N35" s="844" t="s">
        <v>1259</v>
      </c>
      <c r="O35" s="844"/>
      <c r="P35" s="743">
        <v>150</v>
      </c>
      <c r="Q35" s="719" t="s">
        <v>1104</v>
      </c>
      <c r="R35" s="166" t="s">
        <v>1260</v>
      </c>
      <c r="S35" s="166"/>
    </row>
    <row r="36" spans="1:23" s="168" customFormat="1" ht="15.95" customHeight="1" x14ac:dyDescent="0.15">
      <c r="A36" s="16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67"/>
      <c r="M36" s="841"/>
      <c r="N36" s="844" t="s">
        <v>1261</v>
      </c>
      <c r="O36" s="844"/>
      <c r="P36" s="743">
        <v>100</v>
      </c>
      <c r="Q36" s="719" t="s">
        <v>1104</v>
      </c>
      <c r="R36" s="166"/>
      <c r="S36" s="166"/>
    </row>
    <row r="37" spans="1:23" s="168" customFormat="1" ht="15.95" customHeight="1" x14ac:dyDescent="0.15">
      <c r="A37" s="167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67"/>
      <c r="M37" s="841"/>
      <c r="N37" s="844" t="s">
        <v>1255</v>
      </c>
      <c r="O37" s="844"/>
      <c r="P37" s="747">
        <f>P31</f>
        <v>50</v>
      </c>
      <c r="Q37" s="719" t="s">
        <v>1104</v>
      </c>
      <c r="R37" s="166"/>
      <c r="S37" s="166"/>
    </row>
    <row r="38" spans="1:23" s="168" customFormat="1" ht="15.95" customHeight="1" x14ac:dyDescent="0.15">
      <c r="A38" s="167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67"/>
      <c r="M38" s="841"/>
      <c r="N38" s="844" t="s">
        <v>1256</v>
      </c>
      <c r="O38" s="844"/>
      <c r="P38" s="747">
        <f>P32</f>
        <v>120</v>
      </c>
      <c r="Q38" s="719" t="s">
        <v>1104</v>
      </c>
      <c r="R38" s="166"/>
      <c r="S38" s="166"/>
    </row>
    <row r="39" spans="1:23" s="168" customFormat="1" ht="15.95" customHeight="1" x14ac:dyDescent="0.15">
      <c r="A39" s="167"/>
      <c r="B39" s="529" t="s">
        <v>1277</v>
      </c>
      <c r="C39" s="838" t="s">
        <v>1278</v>
      </c>
      <c r="D39" s="838"/>
      <c r="E39" s="839"/>
      <c r="F39" s="838" t="s">
        <v>1279</v>
      </c>
      <c r="G39" s="838"/>
      <c r="H39" s="838"/>
      <c r="I39" s="839"/>
      <c r="J39" s="838" t="s">
        <v>1280</v>
      </c>
      <c r="K39" s="838"/>
      <c r="L39" s="167"/>
      <c r="M39" s="841"/>
      <c r="N39" s="844" t="s">
        <v>1262</v>
      </c>
      <c r="O39" s="844"/>
      <c r="P39" s="743">
        <v>50</v>
      </c>
      <c r="Q39" s="719" t="s">
        <v>1104</v>
      </c>
      <c r="R39" s="174"/>
      <c r="S39" s="166"/>
    </row>
    <row r="40" spans="1:23" s="168" customFormat="1" ht="32.1" customHeight="1" thickBot="1" x14ac:dyDescent="0.2">
      <c r="A40" s="167"/>
      <c r="B40" s="527">
        <v>1</v>
      </c>
      <c r="C40" s="179" t="s">
        <v>1281</v>
      </c>
      <c r="D40" s="179"/>
      <c r="E40" s="180"/>
      <c r="F40" s="181" t="str">
        <f>N46</f>
        <v>· Ø12-2EA</v>
      </c>
      <c r="G40" s="179"/>
      <c r="H40" s="179"/>
      <c r="I40" s="180"/>
      <c r="J40" s="182">
        <f>N47</f>
        <v>5.0142454675222908E-2</v>
      </c>
      <c r="K40" s="183" t="str">
        <f>IF(J40&lt;1,"O.K.","N.G.")</f>
        <v>O.K.</v>
      </c>
      <c r="L40" s="167"/>
      <c r="M40" s="842"/>
      <c r="N40" s="845" t="s">
        <v>1431</v>
      </c>
      <c r="O40" s="845"/>
      <c r="P40" s="748">
        <v>60</v>
      </c>
      <c r="Q40" s="720" t="s">
        <v>1104</v>
      </c>
      <c r="R40" s="166"/>
      <c r="S40" s="166"/>
    </row>
    <row r="41" spans="1:23" s="177" customFormat="1" ht="32.1" customHeight="1" x14ac:dyDescent="0.15">
      <c r="A41" s="167"/>
      <c r="B41" s="184">
        <v>2</v>
      </c>
      <c r="C41" s="185" t="s">
        <v>1282</v>
      </c>
      <c r="D41" s="185"/>
      <c r="E41" s="186"/>
      <c r="F41" s="187" t="str">
        <f>N94</f>
        <v>· L-180×80×6T-100LG : 2EA</v>
      </c>
      <c r="G41" s="187"/>
      <c r="H41" s="187"/>
      <c r="I41" s="188"/>
      <c r="J41" s="189">
        <f>N95</f>
        <v>0.35998349812889696</v>
      </c>
      <c r="K41" s="190" t="str">
        <f>IF(J41&lt;1,"O.K.","N.G.")</f>
        <v>O.K.</v>
      </c>
      <c r="L41" s="167"/>
      <c r="M41" s="191"/>
    </row>
    <row r="42" spans="1:23" s="177" customFormat="1" ht="32.1" customHeight="1" x14ac:dyDescent="0.15">
      <c r="A42" s="167"/>
      <c r="B42" s="184">
        <v>3</v>
      </c>
      <c r="C42" s="179" t="s">
        <v>1283</v>
      </c>
      <c r="D42" s="185"/>
      <c r="E42" s="186"/>
      <c r="F42" s="187" t="str">
        <f>N137</f>
        <v>· Ø12-2EA</v>
      </c>
      <c r="G42" s="187"/>
      <c r="H42" s="187"/>
      <c r="I42" s="188"/>
      <c r="J42" s="189">
        <f>N138</f>
        <v>0.10190076995045007</v>
      </c>
      <c r="K42" s="190" t="str">
        <f>IF(J42&lt;1,"O.K.","N.G.")</f>
        <v>O.K.</v>
      </c>
      <c r="L42" s="167"/>
      <c r="M42" s="167"/>
    </row>
    <row r="43" spans="1:23" s="177" customFormat="1" ht="15.95" customHeight="1" x14ac:dyDescent="0.15">
      <c r="A43" s="167"/>
      <c r="B43" s="796" t="s">
        <v>1217</v>
      </c>
      <c r="C43" s="796"/>
      <c r="D43" s="796"/>
      <c r="E43" s="796"/>
      <c r="F43" s="796"/>
      <c r="G43" s="796"/>
      <c r="H43" s="796"/>
      <c r="I43" s="796"/>
      <c r="J43" s="796"/>
      <c r="K43" s="796"/>
      <c r="L43" s="167"/>
      <c r="M43" s="167"/>
      <c r="N43" s="193"/>
      <c r="W43" s="196"/>
    </row>
    <row r="44" spans="1:23" s="177" customFormat="1" ht="15.95" hidden="1" customHeight="1" thickBot="1" x14ac:dyDescent="0.2">
      <c r="A44" s="167">
        <v>666666</v>
      </c>
      <c r="B44" s="2" t="str">
        <f>CONCATENATE(COUNT($A$2:A44),") CHECK FOR ",IF(P48=2,"STS","STEEL")," BOLT")</f>
        <v>2) CHECK FOR STEEL BOLT</v>
      </c>
      <c r="F44" s="2" t="str">
        <f>O45</f>
        <v>( Ø12-2EA )</v>
      </c>
      <c r="M44" s="177" t="s">
        <v>1154</v>
      </c>
      <c r="N44" s="195"/>
      <c r="O44" s="177" t="s">
        <v>1155</v>
      </c>
      <c r="P44" s="195"/>
      <c r="T44" s="195"/>
    </row>
    <row r="45" spans="1:23" s="177" customFormat="1" ht="15.95" hidden="1" customHeight="1" thickBot="1" x14ac:dyDescent="0.2">
      <c r="A45" s="196"/>
      <c r="N45" s="722" t="s">
        <v>1156</v>
      </c>
      <c r="O45" s="478" t="str">
        <f>CONCATENATE("( Ø",I48,"-",I50,"EA )")</f>
        <v>( Ø12-2EA )</v>
      </c>
      <c r="P45" s="479"/>
      <c r="T45" s="195"/>
    </row>
    <row r="46" spans="1:23" s="177" customFormat="1" ht="15.95" hidden="1" customHeight="1" x14ac:dyDescent="0.15">
      <c r="A46" s="197"/>
      <c r="B46" s="177" t="s">
        <v>1157</v>
      </c>
      <c r="M46" s="193" t="s">
        <v>1105</v>
      </c>
      <c r="N46" s="198" t="str">
        <f>CONCATENATE("· Ø",I48,"-",I50,"EA")</f>
        <v>· Ø12-2EA</v>
      </c>
      <c r="O46" s="195"/>
    </row>
    <row r="47" spans="1:23" s="177" customFormat="1" ht="15.95" hidden="1" customHeight="1" thickBot="1" x14ac:dyDescent="0.2">
      <c r="A47" s="196"/>
      <c r="B47" s="457"/>
      <c r="C47" s="193"/>
      <c r="D47" s="217"/>
      <c r="G47" s="167"/>
      <c r="H47" s="195"/>
      <c r="I47" s="195"/>
      <c r="J47" s="195"/>
      <c r="M47" s="193" t="s">
        <v>1107</v>
      </c>
      <c r="N47" s="723">
        <f>MAX(D74,D85)</f>
        <v>5.0142454675222908E-2</v>
      </c>
      <c r="O47" s="195"/>
      <c r="R47" s="177" t="s">
        <v>1158</v>
      </c>
    </row>
    <row r="48" spans="1:23" s="177" customFormat="1" ht="15.95" hidden="1" customHeight="1" x14ac:dyDescent="0.15">
      <c r="A48" s="196"/>
      <c r="B48" s="457" t="s">
        <v>766</v>
      </c>
      <c r="C48" s="193" t="s">
        <v>1101</v>
      </c>
      <c r="D48" s="217">
        <f>N48</f>
        <v>0</v>
      </c>
      <c r="E48" s="177" t="s">
        <v>1102</v>
      </c>
      <c r="G48" s="457" t="s">
        <v>1159</v>
      </c>
      <c r="H48" s="193" t="s">
        <v>1101</v>
      </c>
      <c r="I48" s="707">
        <f>P21</f>
        <v>12</v>
      </c>
      <c r="J48" s="201" t="s">
        <v>1160</v>
      </c>
      <c r="M48" s="465" t="s">
        <v>766</v>
      </c>
      <c r="N48" s="749">
        <f>$D$7</f>
        <v>0</v>
      </c>
      <c r="O48" s="195"/>
      <c r="P48" s="308">
        <v>1</v>
      </c>
      <c r="Q48" s="308">
        <v>1</v>
      </c>
      <c r="R48" s="451" t="s">
        <v>1161</v>
      </c>
      <c r="S48" s="195"/>
      <c r="T48" s="195"/>
    </row>
    <row r="49" spans="1:18" s="177" customFormat="1" ht="15.95" hidden="1" customHeight="1" x14ac:dyDescent="0.15">
      <c r="A49" s="196"/>
      <c r="B49" s="457" t="s">
        <v>769</v>
      </c>
      <c r="C49" s="193" t="s">
        <v>1101</v>
      </c>
      <c r="D49" s="217">
        <f>N49</f>
        <v>0.75</v>
      </c>
      <c r="E49" s="177" t="s">
        <v>1102</v>
      </c>
      <c r="G49" s="457" t="s">
        <v>1162</v>
      </c>
      <c r="H49" s="193" t="s">
        <v>1101</v>
      </c>
      <c r="I49" s="452">
        <f>PI()*(I48)^2/4</f>
        <v>113.09733552923255</v>
      </c>
      <c r="J49" s="201" t="s">
        <v>1163</v>
      </c>
      <c r="M49" s="465" t="s">
        <v>769</v>
      </c>
      <c r="N49" s="750">
        <f>$D$8</f>
        <v>0.75</v>
      </c>
      <c r="P49" s="193"/>
      <c r="Q49" s="308">
        <v>2</v>
      </c>
      <c r="R49" s="451" t="s">
        <v>1164</v>
      </c>
    </row>
    <row r="50" spans="1:18" s="177" customFormat="1" ht="15.95" hidden="1" customHeight="1" thickBot="1" x14ac:dyDescent="0.2">
      <c r="A50" s="196"/>
      <c r="B50" s="457"/>
      <c r="C50" s="193"/>
      <c r="D50" s="217"/>
      <c r="G50" s="457" t="s">
        <v>1108</v>
      </c>
      <c r="H50" s="193" t="s">
        <v>1101</v>
      </c>
      <c r="I50" s="708">
        <f>P22</f>
        <v>2</v>
      </c>
      <c r="J50" s="201" t="s">
        <v>1165</v>
      </c>
      <c r="M50" s="465" t="s">
        <v>1166</v>
      </c>
      <c r="N50" s="751">
        <f>$D$9</f>
        <v>0</v>
      </c>
      <c r="P50" s="195"/>
      <c r="Q50" s="177" t="s">
        <v>1167</v>
      </c>
      <c r="R50" s="308">
        <v>304</v>
      </c>
    </row>
    <row r="51" spans="1:18" s="177" customFormat="1" ht="15.95" hidden="1" customHeight="1" x14ac:dyDescent="0.15">
      <c r="A51" s="196"/>
      <c r="G51" s="457" t="s">
        <v>1168</v>
      </c>
      <c r="H51" s="193" t="s">
        <v>1101</v>
      </c>
      <c r="I51" s="709">
        <f>P23</f>
        <v>2</v>
      </c>
      <c r="J51" s="201" t="s">
        <v>1169</v>
      </c>
      <c r="M51" s="465"/>
      <c r="N51" s="752"/>
      <c r="P51" s="195"/>
      <c r="R51" s="193"/>
    </row>
    <row r="52" spans="1:18" s="177" customFormat="1" ht="15.95" hidden="1" customHeight="1" x14ac:dyDescent="0.15">
      <c r="A52" s="196"/>
      <c r="B52" s="457" t="s">
        <v>1103</v>
      </c>
      <c r="C52" s="193" t="s">
        <v>1101</v>
      </c>
      <c r="D52" s="268">
        <v>50</v>
      </c>
      <c r="E52" s="177" t="s">
        <v>1104</v>
      </c>
      <c r="H52" s="193"/>
      <c r="I52" s="217"/>
      <c r="M52" s="465"/>
      <c r="N52" s="752"/>
      <c r="P52" s="195"/>
      <c r="R52" s="193"/>
    </row>
    <row r="53" spans="1:18" s="177" customFormat="1" ht="15.95" hidden="1" customHeight="1" x14ac:dyDescent="0.15">
      <c r="A53" s="196"/>
      <c r="B53" s="457" t="s">
        <v>784</v>
      </c>
      <c r="C53" s="193" t="s">
        <v>1101</v>
      </c>
      <c r="D53" s="268">
        <v>50</v>
      </c>
      <c r="E53" s="177" t="s">
        <v>1104</v>
      </c>
      <c r="H53" s="193"/>
      <c r="I53" s="217"/>
      <c r="Q53" s="166"/>
      <c r="R53" s="166"/>
    </row>
    <row r="54" spans="1:18" s="177" customFormat="1" ht="15.95" hidden="1" customHeight="1" x14ac:dyDescent="0.15">
      <c r="A54" s="196"/>
      <c r="H54" s="193"/>
      <c r="I54" s="217"/>
      <c r="Q54" s="166"/>
      <c r="R54" s="166"/>
    </row>
    <row r="55" spans="1:18" s="177" customFormat="1" ht="15.95" hidden="1" customHeight="1" x14ac:dyDescent="0.15">
      <c r="A55" s="196"/>
      <c r="B55" s="457"/>
      <c r="C55" s="193"/>
      <c r="D55" s="268"/>
      <c r="G55" s="457"/>
      <c r="H55" s="193"/>
      <c r="I55" s="217"/>
    </row>
    <row r="56" spans="1:18" s="177" customFormat="1" ht="15.95" hidden="1" customHeight="1" x14ac:dyDescent="0.15">
      <c r="A56" s="196"/>
      <c r="B56" s="177" t="s">
        <v>1284</v>
      </c>
      <c r="C56" s="193"/>
      <c r="D56" s="268"/>
    </row>
    <row r="57" spans="1:18" s="177" customFormat="1" ht="15.95" hidden="1" customHeight="1" x14ac:dyDescent="0.15">
      <c r="A57" s="196"/>
      <c r="C57" s="193"/>
      <c r="D57" s="268"/>
    </row>
    <row r="58" spans="1:18" s="177" customFormat="1" ht="15.95" hidden="1" customHeight="1" x14ac:dyDescent="0.15">
      <c r="A58" s="196"/>
      <c r="B58" s="457" t="s">
        <v>1170</v>
      </c>
      <c r="C58" s="193" t="s">
        <v>1101</v>
      </c>
      <c r="D58" s="457" t="s">
        <v>1285</v>
      </c>
      <c r="M58" s="457" t="s">
        <v>1144</v>
      </c>
      <c r="N58" s="177" t="s">
        <v>1171</v>
      </c>
    </row>
    <row r="59" spans="1:18" s="177" customFormat="1" ht="15.95" hidden="1" customHeight="1" x14ac:dyDescent="0.15">
      <c r="A59" s="196"/>
      <c r="B59" s="457"/>
      <c r="C59" s="193" t="s">
        <v>1101</v>
      </c>
      <c r="D59" s="369">
        <f>D48/I50/I51</f>
        <v>0</v>
      </c>
      <c r="E59" s="177" t="s">
        <v>1172</v>
      </c>
      <c r="M59" s="457" t="s">
        <v>1238</v>
      </c>
      <c r="N59" s="457" t="s">
        <v>1285</v>
      </c>
    </row>
    <row r="60" spans="1:18" s="177" customFormat="1" ht="15.95" hidden="1" customHeight="1" x14ac:dyDescent="0.15">
      <c r="A60" s="196"/>
      <c r="B60" s="457" t="s">
        <v>1173</v>
      </c>
      <c r="C60" s="193" t="s">
        <v>1101</v>
      </c>
      <c r="D60" s="457" t="s">
        <v>1286</v>
      </c>
      <c r="G60" s="457"/>
      <c r="M60" s="457" t="s">
        <v>1239</v>
      </c>
      <c r="N60" s="457" t="s">
        <v>1286</v>
      </c>
    </row>
    <row r="61" spans="1:18" s="177" customFormat="1" ht="15.95" hidden="1" customHeight="1" x14ac:dyDescent="0.15">
      <c r="A61" s="196"/>
      <c r="B61" s="457"/>
      <c r="C61" s="193" t="s">
        <v>1101</v>
      </c>
      <c r="D61" s="369">
        <f>D49/I50/I51</f>
        <v>0.1875</v>
      </c>
      <c r="E61" s="177" t="s">
        <v>1172</v>
      </c>
      <c r="G61" s="457"/>
      <c r="M61" s="457"/>
      <c r="N61" s="457"/>
    </row>
    <row r="62" spans="1:18" s="177" customFormat="1" ht="15.95" hidden="1" customHeight="1" x14ac:dyDescent="0.15">
      <c r="A62" s="196"/>
      <c r="B62" s="457" t="s">
        <v>1174</v>
      </c>
      <c r="C62" s="193" t="s">
        <v>1101</v>
      </c>
      <c r="D62" s="457" t="s">
        <v>1287</v>
      </c>
      <c r="G62" s="457"/>
      <c r="M62" s="457"/>
      <c r="N62" s="457"/>
    </row>
    <row r="63" spans="1:18" s="177" customFormat="1" ht="15.95" hidden="1" customHeight="1" x14ac:dyDescent="0.15">
      <c r="A63" s="196"/>
      <c r="B63" s="457"/>
      <c r="C63" s="193" t="s">
        <v>1101</v>
      </c>
      <c r="D63" s="369">
        <f>SQRT(D59^2+D61^2)</f>
        <v>0.1875</v>
      </c>
      <c r="E63" s="177" t="s">
        <v>1172</v>
      </c>
      <c r="G63" s="457"/>
      <c r="M63" s="457"/>
      <c r="N63" s="457"/>
    </row>
    <row r="64" spans="1:18" s="177" customFormat="1" ht="15.95" hidden="1" customHeight="1" x14ac:dyDescent="0.15">
      <c r="A64" s="196"/>
      <c r="G64" s="457"/>
      <c r="M64" s="457"/>
      <c r="N64" s="457"/>
    </row>
    <row r="65" spans="1:19" s="177" customFormat="1" ht="15.95" hidden="1" customHeight="1" x14ac:dyDescent="0.15">
      <c r="B65" s="177" t="s">
        <v>1288</v>
      </c>
      <c r="E65" s="495"/>
      <c r="F65" s="193"/>
      <c r="M65" s="177" t="s">
        <v>1175</v>
      </c>
      <c r="P65" s="308" t="s">
        <v>1176</v>
      </c>
      <c r="Q65" s="308" t="s">
        <v>1177</v>
      </c>
      <c r="R65" s="308" t="s">
        <v>1178</v>
      </c>
    </row>
    <row r="66" spans="1:19" s="177" customFormat="1" ht="15.95" hidden="1" customHeight="1" x14ac:dyDescent="0.15">
      <c r="F66" s="193"/>
      <c r="G66" s="710"/>
      <c r="K66" s="193"/>
      <c r="M66" s="526" t="s">
        <v>1179</v>
      </c>
      <c r="N66" s="308">
        <v>1</v>
      </c>
      <c r="O66" s="308">
        <v>1</v>
      </c>
      <c r="P66" s="308" t="s">
        <v>1180</v>
      </c>
      <c r="Q66" s="308">
        <v>120</v>
      </c>
      <c r="R66" s="308">
        <v>90</v>
      </c>
    </row>
    <row r="67" spans="1:19" s="177" customFormat="1" ht="15.95" hidden="1" customHeight="1" x14ac:dyDescent="0.15">
      <c r="B67" s="202" t="s">
        <v>1181</v>
      </c>
      <c r="K67" s="193"/>
      <c r="M67" s="193"/>
      <c r="O67" s="308">
        <v>2</v>
      </c>
      <c r="P67" s="308" t="s">
        <v>1182</v>
      </c>
      <c r="Q67" s="308">
        <v>120</v>
      </c>
      <c r="R67" s="308">
        <v>90</v>
      </c>
    </row>
    <row r="68" spans="1:19" s="177" customFormat="1" ht="15.95" hidden="1" customHeight="1" x14ac:dyDescent="0.15">
      <c r="B68" s="457"/>
      <c r="C68" s="193"/>
      <c r="D68" s="217"/>
      <c r="M68" s="193"/>
      <c r="O68" s="308">
        <v>3</v>
      </c>
      <c r="P68" s="308" t="s">
        <v>1183</v>
      </c>
      <c r="Q68" s="308">
        <v>140</v>
      </c>
      <c r="R68" s="308">
        <v>110</v>
      </c>
    </row>
    <row r="69" spans="1:19" s="177" customFormat="1" ht="15.95" hidden="1" customHeight="1" x14ac:dyDescent="0.15">
      <c r="B69" s="457" t="s">
        <v>1184</v>
      </c>
      <c r="C69" s="193" t="s">
        <v>1101</v>
      </c>
      <c r="D69" s="457" t="s">
        <v>1289</v>
      </c>
      <c r="G69" s="457" t="s">
        <v>1148</v>
      </c>
      <c r="H69" s="193" t="s">
        <v>1101</v>
      </c>
      <c r="I69" s="217">
        <f>VLOOKUP(N66,O66:R70,4)</f>
        <v>90</v>
      </c>
      <c r="J69" s="177" t="s">
        <v>1134</v>
      </c>
      <c r="M69" s="193"/>
      <c r="O69" s="308">
        <v>4</v>
      </c>
      <c r="P69" s="308" t="s">
        <v>1185</v>
      </c>
      <c r="Q69" s="308">
        <v>180</v>
      </c>
      <c r="R69" s="308">
        <v>140</v>
      </c>
    </row>
    <row r="70" spans="1:19" s="177" customFormat="1" ht="15.95" hidden="1" customHeight="1" x14ac:dyDescent="0.15">
      <c r="B70" s="193"/>
      <c r="C70" s="193" t="s">
        <v>1101</v>
      </c>
      <c r="D70" s="217">
        <f>I49*I69/10^3</f>
        <v>10.178760197630929</v>
      </c>
      <c r="E70" s="177" t="s">
        <v>1186</v>
      </c>
      <c r="G70" s="457"/>
      <c r="H70" s="193"/>
      <c r="I70" s="457"/>
      <c r="M70" s="193"/>
      <c r="O70" s="308">
        <v>5</v>
      </c>
      <c r="P70" s="308" t="s">
        <v>1187</v>
      </c>
      <c r="Q70" s="308">
        <v>210</v>
      </c>
      <c r="R70" s="308">
        <v>160</v>
      </c>
    </row>
    <row r="71" spans="1:19" s="177" customFormat="1" ht="15.95" hidden="1" customHeight="1" x14ac:dyDescent="0.15">
      <c r="B71" s="193"/>
      <c r="C71" s="193"/>
      <c r="D71" s="217"/>
      <c r="G71" s="457"/>
      <c r="H71" s="193"/>
      <c r="I71" s="457"/>
      <c r="M71" s="193"/>
      <c r="O71" s="193"/>
      <c r="P71" s="193"/>
      <c r="Q71" s="193"/>
      <c r="R71" s="193"/>
    </row>
    <row r="72" spans="1:19" s="177" customFormat="1" ht="15.95" hidden="1" customHeight="1" x14ac:dyDescent="0.15">
      <c r="B72" s="177" t="s">
        <v>1290</v>
      </c>
      <c r="G72" s="203"/>
      <c r="H72" s="193"/>
      <c r="I72" s="217"/>
    </row>
    <row r="73" spans="1:19" s="177" customFormat="1" ht="15.95" hidden="1" customHeight="1" x14ac:dyDescent="0.15">
      <c r="C73" s="204"/>
    </row>
    <row r="74" spans="1:19" s="177" customFormat="1" ht="15.95" hidden="1" customHeight="1" x14ac:dyDescent="0.15">
      <c r="B74" s="457" t="s">
        <v>1291</v>
      </c>
      <c r="C74" s="193" t="s">
        <v>1101</v>
      </c>
      <c r="D74" s="205">
        <f>D63/D70</f>
        <v>1.8420711006006407E-2</v>
      </c>
      <c r="E74" s="206" t="str">
        <f>IF(D74&gt;F74,"&gt;","&lt;")</f>
        <v>&lt;</v>
      </c>
      <c r="F74" s="207">
        <v>1</v>
      </c>
      <c r="G74" s="208" t="str">
        <f>IF(D74&lt;1,"O.K","N.G")</f>
        <v>O.K</v>
      </c>
    </row>
    <row r="75" spans="1:19" s="177" customFormat="1" ht="15.95" hidden="1" customHeight="1" x14ac:dyDescent="0.15"/>
    <row r="76" spans="1:19" s="177" customFormat="1" ht="15.95" hidden="1" customHeight="1" x14ac:dyDescent="0.15"/>
    <row r="77" spans="1:19" s="177" customFormat="1" ht="15.95" hidden="1" customHeight="1" x14ac:dyDescent="0.15">
      <c r="A77" s="196"/>
      <c r="B77" s="177" t="s">
        <v>1188</v>
      </c>
      <c r="N77" s="831" t="s">
        <v>1189</v>
      </c>
      <c r="O77" s="831" t="s">
        <v>1190</v>
      </c>
      <c r="P77" s="831" t="s">
        <v>1191</v>
      </c>
      <c r="Q77" s="831" t="s">
        <v>1192</v>
      </c>
      <c r="R77" s="831" t="s">
        <v>1193</v>
      </c>
      <c r="S77" s="831" t="s">
        <v>1194</v>
      </c>
    </row>
    <row r="78" spans="1:19" s="177" customFormat="1" ht="15.95" hidden="1" customHeight="1" x14ac:dyDescent="0.15">
      <c r="B78" s="202"/>
      <c r="N78" s="832"/>
      <c r="O78" s="832"/>
      <c r="P78" s="832"/>
      <c r="Q78" s="832"/>
      <c r="R78" s="832"/>
      <c r="S78" s="832"/>
    </row>
    <row r="79" spans="1:19" s="177" customFormat="1" ht="15.95" hidden="1" customHeight="1" x14ac:dyDescent="0.15">
      <c r="B79" s="202" t="s">
        <v>1195</v>
      </c>
      <c r="G79" s="202" t="s">
        <v>1196</v>
      </c>
      <c r="H79" s="203"/>
      <c r="M79" s="193">
        <v>1</v>
      </c>
      <c r="N79" s="308" t="s">
        <v>1197</v>
      </c>
      <c r="O79" s="480" t="s">
        <v>1198</v>
      </c>
      <c r="P79" s="481">
        <v>22.6</v>
      </c>
      <c r="Q79" s="308" t="s">
        <v>1199</v>
      </c>
      <c r="R79" s="482">
        <f>P79*70.3*9.80665/100</f>
        <v>155.80609386999998</v>
      </c>
      <c r="S79" s="209" t="s">
        <v>1200</v>
      </c>
    </row>
    <row r="80" spans="1:19" s="177" customFormat="1" ht="15.95" hidden="1" customHeight="1" x14ac:dyDescent="0.15">
      <c r="B80" s="457" t="s">
        <v>1159</v>
      </c>
      <c r="C80" s="193" t="s">
        <v>1101</v>
      </c>
      <c r="D80" s="268">
        <f>N86</f>
        <v>12</v>
      </c>
      <c r="E80" s="177" t="s">
        <v>1104</v>
      </c>
      <c r="G80" s="833" t="str">
        <f>N84</f>
        <v>ALUM. Alloy &amp; Temper 6063-T5 / J.3.7a, J.4.7</v>
      </c>
      <c r="H80" s="833"/>
      <c r="I80" s="833"/>
      <c r="J80" s="833"/>
      <c r="M80" s="193">
        <v>2</v>
      </c>
      <c r="N80" s="308" t="s">
        <v>1201</v>
      </c>
      <c r="O80" s="480" t="s">
        <v>1202</v>
      </c>
      <c r="P80" s="481">
        <v>30.8</v>
      </c>
      <c r="Q80" s="308" t="s">
        <v>1199</v>
      </c>
      <c r="R80" s="482">
        <f>P80*70.3*9.80665/100</f>
        <v>212.33750845999995</v>
      </c>
      <c r="S80" s="209" t="s">
        <v>1200</v>
      </c>
    </row>
    <row r="81" spans="1:27" s="177" customFormat="1" ht="15.95" hidden="1" customHeight="1" x14ac:dyDescent="0.15">
      <c r="B81" s="457" t="s">
        <v>1203</v>
      </c>
      <c r="C81" s="193" t="s">
        <v>1101</v>
      </c>
      <c r="D81" s="268">
        <f>P24</f>
        <v>2</v>
      </c>
      <c r="E81" s="177" t="s">
        <v>1104</v>
      </c>
      <c r="G81" s="833"/>
      <c r="H81" s="833"/>
      <c r="I81" s="833"/>
      <c r="J81" s="833"/>
      <c r="M81" s="193">
        <v>3</v>
      </c>
      <c r="N81" s="308" t="s">
        <v>1180</v>
      </c>
      <c r="O81" s="480" t="s">
        <v>1204</v>
      </c>
      <c r="P81" s="481"/>
      <c r="Q81" s="209"/>
      <c r="R81" s="483">
        <v>275</v>
      </c>
      <c r="S81" s="209" t="s">
        <v>1200</v>
      </c>
      <c r="AA81" s="196"/>
    </row>
    <row r="82" spans="1:27" s="177" customFormat="1" ht="15.95" hidden="1" customHeight="1" x14ac:dyDescent="0.15">
      <c r="B82" s="457" t="s">
        <v>1174</v>
      </c>
      <c r="C82" s="193" t="s">
        <v>1101</v>
      </c>
      <c r="D82" s="217">
        <f>D63</f>
        <v>0.1875</v>
      </c>
      <c r="E82" s="177" t="s">
        <v>1186</v>
      </c>
      <c r="G82" s="457" t="s">
        <v>1133</v>
      </c>
      <c r="H82" s="193" t="s">
        <v>1101</v>
      </c>
      <c r="I82" s="217">
        <f>N87</f>
        <v>155.80609386999998</v>
      </c>
      <c r="J82" s="177" t="str">
        <f>O87</f>
        <v>N/mm²</v>
      </c>
      <c r="K82" s="457"/>
      <c r="M82" s="193">
        <v>4</v>
      </c>
      <c r="N82" s="308" t="s">
        <v>1164</v>
      </c>
      <c r="O82" s="480" t="s">
        <v>1205</v>
      </c>
      <c r="P82" s="481"/>
      <c r="Q82" s="209"/>
      <c r="R82" s="451">
        <v>205</v>
      </c>
      <c r="S82" s="209" t="s">
        <v>1200</v>
      </c>
      <c r="AA82" s="196"/>
    </row>
    <row r="83" spans="1:27" s="177" customFormat="1" ht="15.95" hidden="1" customHeight="1" x14ac:dyDescent="0.15">
      <c r="B83" s="203"/>
      <c r="C83" s="193"/>
      <c r="G83" s="457" t="s">
        <v>1292</v>
      </c>
      <c r="H83" s="193" t="s">
        <v>1101</v>
      </c>
      <c r="I83" s="457" t="s">
        <v>1206</v>
      </c>
      <c r="J83" s="453" t="str">
        <f>O88</f>
        <v/>
      </c>
      <c r="M83" s="193">
        <v>5</v>
      </c>
      <c r="N83" s="308" t="s">
        <v>1207</v>
      </c>
      <c r="O83" s="480" t="s">
        <v>1208</v>
      </c>
      <c r="P83" s="481"/>
      <c r="Q83" s="209"/>
      <c r="R83" s="482">
        <v>73</v>
      </c>
      <c r="S83" s="209" t="s">
        <v>1200</v>
      </c>
    </row>
    <row r="84" spans="1:27" s="177" customFormat="1" ht="15.95" hidden="1" customHeight="1" x14ac:dyDescent="0.15">
      <c r="C84" s="193"/>
      <c r="H84" s="193" t="s">
        <v>1101</v>
      </c>
      <c r="I84" s="217">
        <f>I82*D80*D81/10^3*N88</f>
        <v>3.7393462528799994</v>
      </c>
      <c r="J84" s="177" t="s">
        <v>1186</v>
      </c>
      <c r="N84" s="482" t="str">
        <f>VLOOKUP(N85,M79:S83,3)</f>
        <v>ALUM. Alloy &amp; Temper 6063-T5 / J.3.7a, J.4.7</v>
      </c>
      <c r="T84" s="177" t="s">
        <v>1175</v>
      </c>
    </row>
    <row r="85" spans="1:27" s="177" customFormat="1" ht="15.95" hidden="1" customHeight="1" x14ac:dyDescent="0.15">
      <c r="B85" s="457" t="s">
        <v>1293</v>
      </c>
      <c r="C85" s="193" t="s">
        <v>1101</v>
      </c>
      <c r="D85" s="205">
        <f>D82/MAX(I84)</f>
        <v>5.0142454675222908E-2</v>
      </c>
      <c r="E85" s="206" t="str">
        <f>IF(D85&gt;F85,"&gt;","&lt;")</f>
        <v>&lt;</v>
      </c>
      <c r="F85" s="207">
        <v>1</v>
      </c>
      <c r="G85" s="208" t="str">
        <f>IF(D85&lt;1,"O.K","N.G")</f>
        <v>O.K</v>
      </c>
      <c r="M85" s="177" t="s">
        <v>1209</v>
      </c>
      <c r="N85" s="170">
        <f>P25</f>
        <v>1</v>
      </c>
      <c r="P85" s="177" t="s">
        <v>1210</v>
      </c>
      <c r="Q85" s="308">
        <v>50</v>
      </c>
    </row>
    <row r="86" spans="1:27" s="177" customFormat="1" ht="15.95" hidden="1" customHeight="1" x14ac:dyDescent="0.15">
      <c r="B86" s="457"/>
      <c r="C86" s="193"/>
      <c r="D86" s="205"/>
      <c r="E86" s="206"/>
      <c r="F86" s="207"/>
      <c r="G86" s="457"/>
      <c r="M86" s="177" t="s">
        <v>1211</v>
      </c>
      <c r="N86" s="357">
        <f>IF(N85=5,Q85,Q86)</f>
        <v>12</v>
      </c>
      <c r="P86" s="177" t="s">
        <v>1212</v>
      </c>
      <c r="Q86" s="380">
        <f>I48</f>
        <v>12</v>
      </c>
      <c r="V86" s="177" t="s">
        <v>1175</v>
      </c>
    </row>
    <row r="87" spans="1:27" s="177" customFormat="1" ht="15.95" hidden="1" customHeight="1" x14ac:dyDescent="0.15">
      <c r="M87" s="177" t="s">
        <v>1213</v>
      </c>
      <c r="N87" s="484">
        <f>VLOOKUP(N85,M79:R83,6)</f>
        <v>155.80609386999998</v>
      </c>
      <c r="O87" s="485" t="str">
        <f>VLOOKUP(N85,M79:S83,7)</f>
        <v>N/mm²</v>
      </c>
      <c r="V87" s="177" t="s">
        <v>1175</v>
      </c>
    </row>
    <row r="88" spans="1:27" s="177" customFormat="1" ht="15.95" hidden="1" customHeight="1" x14ac:dyDescent="0.15">
      <c r="M88" s="177" t="s">
        <v>1214</v>
      </c>
      <c r="N88" s="526">
        <f>IF(N85=3,1.25,IF(N85=4,1.25,1))</f>
        <v>1</v>
      </c>
      <c r="O88" s="486" t="str">
        <f>IF(N85=3,"× 1.25",IF(N85=4,"× 1.25",""))</f>
        <v/>
      </c>
    </row>
    <row r="89" spans="1:27" s="177" customFormat="1" ht="15.95" hidden="1" customHeight="1" x14ac:dyDescent="0.15">
      <c r="M89" s="193"/>
      <c r="V89" s="177" t="s">
        <v>1175</v>
      </c>
    </row>
    <row r="90" spans="1:27" s="195" customFormat="1" ht="15.95" hidden="1" customHeight="1" x14ac:dyDescent="0.15">
      <c r="A90" s="167">
        <v>666666</v>
      </c>
      <c r="B90" s="2" t="str">
        <f>CONCATENATE(COUNT($A$2:A90),") CHECK FOR STEEL BRACKET")</f>
        <v>3) CHECK FOR STEEL BRACKET</v>
      </c>
      <c r="C90" s="177"/>
      <c r="D90" s="177"/>
      <c r="E90" s="177"/>
      <c r="F90" s="2" t="str">
        <f>O91</f>
        <v>( L-180×80×6T-100LG : 2EA )</v>
      </c>
      <c r="G90" s="193"/>
      <c r="H90" s="193"/>
      <c r="I90" s="177"/>
      <c r="J90" s="177"/>
      <c r="K90" s="177"/>
      <c r="L90" s="177"/>
      <c r="M90" s="195" t="s">
        <v>1096</v>
      </c>
      <c r="W90" s="196">
        <v>1</v>
      </c>
    </row>
    <row r="91" spans="1:27" s="195" customFormat="1" ht="15.95" hidden="1" customHeight="1" x14ac:dyDescent="0.15">
      <c r="A91" s="167"/>
      <c r="B91" s="177"/>
      <c r="C91" s="177"/>
      <c r="D91" s="177"/>
      <c r="E91" s="177"/>
      <c r="F91" s="177"/>
      <c r="G91" s="193"/>
      <c r="H91" s="193"/>
      <c r="I91" s="177"/>
      <c r="J91" s="177"/>
      <c r="K91" s="177"/>
      <c r="L91" s="177"/>
      <c r="M91" s="203" t="s">
        <v>1097</v>
      </c>
      <c r="N91" s="308" t="s">
        <v>1098</v>
      </c>
      <c r="O91" s="203" t="str">
        <f>CONCATENATE("( ",N91,"-",D101,"×",D102,"×",D99,"T","-",D100,"LG",IF(N91="L",CONCATENATE(" : ",D98,"EA"),"")," )")</f>
        <v>( L-180×80×6T-100LG : 2EA )</v>
      </c>
      <c r="V91" s="203"/>
      <c r="W91" s="203"/>
      <c r="X91" s="724"/>
      <c r="Y91" s="724"/>
      <c r="Z91" s="724"/>
    </row>
    <row r="92" spans="1:27" s="195" customFormat="1" ht="15.95" hidden="1" customHeight="1" x14ac:dyDescent="0.15">
      <c r="A92" s="177"/>
      <c r="B92" s="177" t="s">
        <v>1099</v>
      </c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203" t="s">
        <v>1100</v>
      </c>
      <c r="V92" s="203"/>
      <c r="W92" s="203"/>
      <c r="X92" s="724"/>
      <c r="Y92" s="724"/>
      <c r="Z92" s="724"/>
    </row>
    <row r="93" spans="1:27" s="195" customFormat="1" ht="15.95" hidden="1" customHeight="1" x14ac:dyDescent="0.15">
      <c r="A93" s="177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203"/>
      <c r="V93" s="203"/>
      <c r="W93" s="203"/>
      <c r="X93" s="724"/>
      <c r="Y93" s="724"/>
      <c r="Z93" s="724"/>
    </row>
    <row r="94" spans="1:27" s="195" customFormat="1" ht="15.95" hidden="1" customHeight="1" x14ac:dyDescent="0.15">
      <c r="A94" s="196"/>
      <c r="B94" s="457" t="s">
        <v>766</v>
      </c>
      <c r="C94" s="193" t="s">
        <v>1101</v>
      </c>
      <c r="D94" s="217">
        <f>$D$7</f>
        <v>0</v>
      </c>
      <c r="E94" s="177" t="s">
        <v>1102</v>
      </c>
      <c r="F94" s="177"/>
      <c r="G94" s="457" t="s">
        <v>1103</v>
      </c>
      <c r="H94" s="193" t="s">
        <v>1101</v>
      </c>
      <c r="I94" s="268">
        <f>P31</f>
        <v>50</v>
      </c>
      <c r="J94" s="177" t="s">
        <v>1104</v>
      </c>
      <c r="K94" s="448"/>
      <c r="L94" s="177"/>
      <c r="M94" s="193" t="s">
        <v>1105</v>
      </c>
      <c r="N94" s="198" t="str">
        <f>CONCATENATE("· ",N91,"-",D101,"×",D102,"×",D99,"T","-",D100,"LG",IF(N91="L",CONCATENATE(" : ",D98,"EA"),""))</f>
        <v>· L-180×80×6T-100LG : 2EA</v>
      </c>
    </row>
    <row r="95" spans="1:27" s="195" customFormat="1" ht="15.95" hidden="1" customHeight="1" x14ac:dyDescent="0.15">
      <c r="A95" s="196"/>
      <c r="B95" s="457" t="s">
        <v>769</v>
      </c>
      <c r="C95" s="193" t="s">
        <v>1101</v>
      </c>
      <c r="D95" s="217">
        <f>$D$8</f>
        <v>0.75</v>
      </c>
      <c r="E95" s="177" t="s">
        <v>1102</v>
      </c>
      <c r="F95" s="177"/>
      <c r="G95" s="457" t="s">
        <v>1106</v>
      </c>
      <c r="H95" s="193" t="s">
        <v>1101</v>
      </c>
      <c r="I95" s="268">
        <f>P32</f>
        <v>120</v>
      </c>
      <c r="J95" s="177" t="s">
        <v>1104</v>
      </c>
      <c r="K95" s="375"/>
      <c r="L95" s="177"/>
      <c r="M95" s="212" t="s">
        <v>1107</v>
      </c>
      <c r="N95" s="213">
        <f>MAX(G134,G135)</f>
        <v>0.35998349812889696</v>
      </c>
    </row>
    <row r="96" spans="1:27" s="195" customFormat="1" ht="15.95" hidden="1" customHeight="1" x14ac:dyDescent="0.15">
      <c r="A96" s="196"/>
      <c r="B96" s="457"/>
      <c r="C96" s="193"/>
      <c r="D96" s="217"/>
      <c r="E96" s="177"/>
      <c r="F96" s="177"/>
      <c r="G96" s="457"/>
      <c r="H96" s="193"/>
      <c r="I96" s="217"/>
      <c r="J96" s="177"/>
      <c r="K96" s="375"/>
      <c r="L96" s="177"/>
      <c r="M96" s="211"/>
    </row>
    <row r="97" spans="1:26" s="195" customFormat="1" ht="15.95" hidden="1" customHeight="1" x14ac:dyDescent="0.15">
      <c r="A97" s="196"/>
      <c r="B97" s="457"/>
      <c r="C97" s="193"/>
      <c r="D97" s="217"/>
      <c r="E97" s="177"/>
      <c r="F97" s="177"/>
      <c r="G97" s="457"/>
      <c r="H97" s="193"/>
      <c r="I97" s="217"/>
      <c r="J97" s="177"/>
      <c r="K97" s="375"/>
      <c r="L97" s="177"/>
      <c r="M97" s="211"/>
    </row>
    <row r="98" spans="1:26" s="195" customFormat="1" ht="15.95" hidden="1" customHeight="1" x14ac:dyDescent="0.15">
      <c r="A98" s="196"/>
      <c r="B98" s="457" t="s">
        <v>1108</v>
      </c>
      <c r="C98" s="193" t="s">
        <v>1101</v>
      </c>
      <c r="D98" s="268">
        <f>P26</f>
        <v>2</v>
      </c>
      <c r="E98" s="177" t="s">
        <v>1109</v>
      </c>
      <c r="F98" s="177"/>
      <c r="G98" s="167" t="str">
        <f>N98</f>
        <v>( The Number of Brackets )</v>
      </c>
      <c r="I98" s="177"/>
      <c r="J98" s="177"/>
      <c r="K98" s="375"/>
      <c r="L98" s="177"/>
      <c r="M98" s="203" t="s">
        <v>1110</v>
      </c>
      <c r="N98" s="214" t="str">
        <f>IF(N91="L","( The Number of Brackets )", "( The Number of Surfaces )")</f>
        <v>( The Number of Brackets )</v>
      </c>
      <c r="O98" s="215"/>
      <c r="P98" s="215"/>
      <c r="Q98" s="193"/>
    </row>
    <row r="99" spans="1:26" s="195" customFormat="1" ht="15.95" hidden="1" customHeight="1" x14ac:dyDescent="0.15">
      <c r="A99" s="196"/>
      <c r="B99" s="457" t="s">
        <v>1111</v>
      </c>
      <c r="C99" s="193" t="s">
        <v>1101</v>
      </c>
      <c r="D99" s="268">
        <f>P27</f>
        <v>6</v>
      </c>
      <c r="E99" s="177" t="s">
        <v>1104</v>
      </c>
      <c r="F99" s="177"/>
      <c r="G99" s="167" t="s">
        <v>1112</v>
      </c>
      <c r="K99" s="375"/>
      <c r="L99" s="177"/>
      <c r="M99" s="457"/>
      <c r="O99" s="167"/>
      <c r="Q99" s="193"/>
      <c r="R99" s="196"/>
      <c r="V99" s="203"/>
      <c r="W99" s="196"/>
    </row>
    <row r="100" spans="1:26" s="195" customFormat="1" ht="15.95" hidden="1" customHeight="1" x14ac:dyDescent="0.15">
      <c r="A100" s="196"/>
      <c r="B100" s="457" t="s">
        <v>1113</v>
      </c>
      <c r="C100" s="193" t="s">
        <v>1101</v>
      </c>
      <c r="D100" s="268">
        <f>P28</f>
        <v>100</v>
      </c>
      <c r="E100" s="177" t="s">
        <v>1104</v>
      </c>
      <c r="F100" s="177"/>
      <c r="G100" s="167" t="s">
        <v>1114</v>
      </c>
      <c r="K100" s="217"/>
      <c r="L100" s="177"/>
      <c r="R100" s="350"/>
      <c r="W100" s="196"/>
    </row>
    <row r="101" spans="1:26" s="195" customFormat="1" ht="15.95" hidden="1" customHeight="1" x14ac:dyDescent="0.15">
      <c r="A101" s="196"/>
      <c r="B101" s="457" t="s">
        <v>1115</v>
      </c>
      <c r="C101" s="193" t="s">
        <v>1101</v>
      </c>
      <c r="D101" s="268">
        <f>P29</f>
        <v>180</v>
      </c>
      <c r="E101" s="177" t="s">
        <v>1104</v>
      </c>
      <c r="F101" s="177"/>
      <c r="G101" s="167" t="s">
        <v>1116</v>
      </c>
      <c r="H101" s="167"/>
      <c r="K101" s="217"/>
      <c r="L101" s="177"/>
      <c r="M101" s="203"/>
      <c r="R101" s="350"/>
      <c r="U101" s="465"/>
      <c r="V101" s="465"/>
      <c r="W101" s="196">
        <v>2</v>
      </c>
      <c r="X101" s="177"/>
      <c r="Y101" s="177"/>
      <c r="Z101" s="177"/>
    </row>
    <row r="102" spans="1:26" s="195" customFormat="1" ht="15.95" hidden="1" customHeight="1" x14ac:dyDescent="0.15">
      <c r="A102" s="196"/>
      <c r="B102" s="457" t="s">
        <v>1117</v>
      </c>
      <c r="C102" s="193" t="s">
        <v>1101</v>
      </c>
      <c r="D102" s="268">
        <f>P30</f>
        <v>80</v>
      </c>
      <c r="E102" s="177" t="s">
        <v>1104</v>
      </c>
      <c r="F102" s="177"/>
      <c r="G102" s="167" t="s">
        <v>1118</v>
      </c>
      <c r="K102" s="217"/>
      <c r="L102" s="177"/>
      <c r="N102" s="457" t="s">
        <v>1125</v>
      </c>
      <c r="R102" s="350"/>
      <c r="U102" s="465"/>
      <c r="V102" s="465"/>
      <c r="W102" s="177"/>
      <c r="X102" s="177"/>
      <c r="Y102" s="177"/>
      <c r="Z102" s="177"/>
    </row>
    <row r="103" spans="1:26" s="195" customFormat="1" ht="15.95" hidden="1" customHeight="1" x14ac:dyDescent="0.15">
      <c r="A103" s="167"/>
      <c r="B103" s="449"/>
      <c r="C103" s="193"/>
      <c r="D103" s="166"/>
      <c r="F103" s="177"/>
      <c r="G103" s="177"/>
      <c r="H103" s="167"/>
      <c r="I103" s="167"/>
      <c r="J103" s="167"/>
      <c r="K103" s="167"/>
      <c r="L103" s="167"/>
      <c r="M103" s="457"/>
      <c r="N103" s="457" t="s">
        <v>1127</v>
      </c>
      <c r="R103" s="350"/>
    </row>
    <row r="104" spans="1:26" s="195" customFormat="1" ht="15.95" hidden="1" customHeight="1" x14ac:dyDescent="0.15">
      <c r="A104" s="167"/>
      <c r="B104" s="449"/>
      <c r="C104" s="193"/>
      <c r="D104" s="166"/>
      <c r="F104" s="177"/>
      <c r="G104" s="177"/>
      <c r="H104" s="167"/>
      <c r="I104" s="167"/>
      <c r="J104" s="167"/>
      <c r="K104" s="167"/>
      <c r="L104" s="167"/>
      <c r="M104" s="457"/>
      <c r="N104" s="457" t="s">
        <v>1127</v>
      </c>
      <c r="R104" s="350"/>
    </row>
    <row r="105" spans="1:26" s="195" customFormat="1" ht="15.95" hidden="1" customHeight="1" x14ac:dyDescent="0.15">
      <c r="A105" s="167"/>
      <c r="B105" s="177" t="s">
        <v>658</v>
      </c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457"/>
      <c r="N105" s="457" t="s">
        <v>1294</v>
      </c>
      <c r="O105" s="487"/>
      <c r="R105" s="350"/>
      <c r="U105" s="177"/>
      <c r="V105" s="177"/>
      <c r="W105" s="177"/>
      <c r="X105" s="177"/>
      <c r="Y105" s="177"/>
      <c r="Z105" s="177"/>
    </row>
    <row r="106" spans="1:26" s="195" customFormat="1" ht="12" hidden="1" customHeight="1" x14ac:dyDescent="0.15">
      <c r="A106" s="167"/>
      <c r="B106" s="167"/>
      <c r="C106" s="167"/>
      <c r="D106" s="167"/>
      <c r="E106" s="167"/>
      <c r="F106" s="167"/>
      <c r="L106" s="167"/>
      <c r="M106" s="211"/>
      <c r="R106" s="196"/>
      <c r="S106" s="177"/>
      <c r="T106" s="177"/>
      <c r="U106" s="177"/>
      <c r="V106" s="177"/>
      <c r="W106" s="177"/>
      <c r="X106" s="177"/>
      <c r="Y106" s="177"/>
      <c r="Z106" s="177"/>
    </row>
    <row r="107" spans="1:26" s="195" customFormat="1" ht="15.95" hidden="1" customHeight="1" x14ac:dyDescent="0.15">
      <c r="A107" s="167"/>
      <c r="B107" s="457" t="s">
        <v>1119</v>
      </c>
      <c r="C107" s="193" t="s">
        <v>1101</v>
      </c>
      <c r="D107" s="457" t="s">
        <v>1295</v>
      </c>
      <c r="F107" s="167"/>
      <c r="G107" s="195" t="s">
        <v>1120</v>
      </c>
      <c r="L107" s="167"/>
      <c r="M107" s="487" t="str">
        <f>IF(AND(R115&lt;=0.2,I95&lt;=D100),"O","X")</f>
        <v>X</v>
      </c>
      <c r="N107" s="203" t="s">
        <v>1121</v>
      </c>
      <c r="O107" s="457" t="s">
        <v>1223</v>
      </c>
      <c r="P107" s="203"/>
      <c r="Q107" s="193"/>
      <c r="R107" s="196"/>
      <c r="S107" s="465" t="s">
        <v>1122</v>
      </c>
      <c r="T107" s="465" t="s">
        <v>1123</v>
      </c>
      <c r="U107" s="177"/>
      <c r="V107" s="177"/>
      <c r="W107" s="177"/>
      <c r="X107" s="177"/>
      <c r="Y107" s="177"/>
      <c r="Z107" s="177"/>
    </row>
    <row r="108" spans="1:26" s="195" customFormat="1" ht="15.95" hidden="1" customHeight="1" x14ac:dyDescent="0.15">
      <c r="A108" s="167"/>
      <c r="B108" s="457"/>
      <c r="C108" s="193" t="s">
        <v>1101</v>
      </c>
      <c r="D108" s="268">
        <f>(D94/D98)*I94*10^3</f>
        <v>0</v>
      </c>
      <c r="E108" s="177" t="s">
        <v>1124</v>
      </c>
      <c r="F108" s="167"/>
      <c r="L108" s="167"/>
      <c r="M108" s="196"/>
      <c r="N108" s="203"/>
      <c r="O108" s="457" t="s">
        <v>1224</v>
      </c>
      <c r="P108" s="203"/>
      <c r="Q108" s="457" t="s">
        <v>1225</v>
      </c>
      <c r="R108" s="196"/>
      <c r="S108" s="209">
        <f>(D95/D98)*I94*1000</f>
        <v>18750</v>
      </c>
      <c r="T108" s="209">
        <v>0</v>
      </c>
      <c r="U108" s="177"/>
      <c r="V108" s="177"/>
      <c r="W108" s="177"/>
      <c r="X108" s="177"/>
      <c r="Y108" s="177"/>
      <c r="Z108" s="177"/>
    </row>
    <row r="109" spans="1:26" s="195" customFormat="1" ht="15.95" hidden="1" customHeight="1" x14ac:dyDescent="0.15">
      <c r="A109" s="167"/>
      <c r="B109" s="457" t="s">
        <v>1122</v>
      </c>
      <c r="C109" s="193" t="s">
        <v>1101</v>
      </c>
      <c r="D109" s="457" t="s">
        <v>1125</v>
      </c>
      <c r="F109" s="167"/>
      <c r="L109" s="488"/>
      <c r="M109" s="487" t="str">
        <f>IF(AND(R115&lt;=0.2,I95&gt;D100),"O","X")</f>
        <v>X</v>
      </c>
      <c r="N109" s="203" t="s">
        <v>1126</v>
      </c>
      <c r="O109" s="457" t="s">
        <v>1226</v>
      </c>
      <c r="P109" s="203"/>
      <c r="R109" s="196"/>
      <c r="S109" s="177"/>
      <c r="T109" s="177"/>
      <c r="U109" s="177"/>
      <c r="V109" s="177"/>
      <c r="W109" s="177"/>
      <c r="X109" s="177"/>
      <c r="Y109" s="177"/>
      <c r="Z109" s="177"/>
    </row>
    <row r="110" spans="1:26" s="195" customFormat="1" ht="15.95" hidden="1" customHeight="1" x14ac:dyDescent="0.15">
      <c r="A110" s="167"/>
      <c r="B110" s="457"/>
      <c r="C110" s="193" t="s">
        <v>1101</v>
      </c>
      <c r="D110" s="268">
        <f>IF(AND(R115&gt;0.2,I95&lt;=D100),S112,S114)</f>
        <v>18750</v>
      </c>
      <c r="E110" s="177" t="s">
        <v>1124</v>
      </c>
      <c r="F110" s="167"/>
      <c r="L110" s="488"/>
      <c r="M110" s="196"/>
      <c r="N110" s="203"/>
      <c r="O110" s="457" t="s">
        <v>1224</v>
      </c>
      <c r="P110" s="203"/>
      <c r="Q110" s="457" t="s">
        <v>1225</v>
      </c>
      <c r="R110" s="196"/>
      <c r="S110" s="209">
        <f>(D95/D98)*I94*1000</f>
        <v>18750</v>
      </c>
      <c r="T110" s="209">
        <v>0</v>
      </c>
      <c r="U110" s="177"/>
      <c r="V110" s="177"/>
      <c r="W110" s="177"/>
      <c r="X110" s="177"/>
      <c r="Y110" s="177"/>
      <c r="Z110" s="177"/>
    </row>
    <row r="111" spans="1:26" s="195" customFormat="1" ht="15.95" hidden="1" customHeight="1" x14ac:dyDescent="0.15">
      <c r="A111" s="167"/>
      <c r="B111" s="457" t="s">
        <v>1123</v>
      </c>
      <c r="C111" s="193" t="s">
        <v>1101</v>
      </c>
      <c r="D111" s="457" t="s">
        <v>1127</v>
      </c>
      <c r="F111" s="167"/>
      <c r="L111" s="488"/>
      <c r="M111" s="487" t="str">
        <f>IF(AND(R115&gt;0.2,I95&lt;=D100),"O","X")</f>
        <v>X</v>
      </c>
      <c r="N111" s="203" t="s">
        <v>1128</v>
      </c>
      <c r="O111" s="457" t="s">
        <v>1227</v>
      </c>
      <c r="P111" s="203"/>
      <c r="Q111" s="193"/>
      <c r="R111" s="196"/>
      <c r="S111" s="177"/>
      <c r="T111" s="177"/>
      <c r="U111" s="177"/>
      <c r="V111" s="177"/>
      <c r="W111" s="177"/>
      <c r="X111" s="177"/>
      <c r="Y111" s="177"/>
      <c r="Z111" s="177"/>
    </row>
    <row r="112" spans="1:26" s="195" customFormat="1" ht="15.95" hidden="1" customHeight="1" x14ac:dyDescent="0.15">
      <c r="A112" s="167"/>
      <c r="B112" s="177"/>
      <c r="C112" s="193" t="s">
        <v>1101</v>
      </c>
      <c r="D112" s="268">
        <f>IF(AND(R115&gt;0.2,I95&gt;D100),T114,T112)</f>
        <v>45000</v>
      </c>
      <c r="E112" s="177" t="s">
        <v>1124</v>
      </c>
      <c r="F112" s="167"/>
      <c r="L112" s="488"/>
      <c r="M112" s="196"/>
      <c r="N112" s="203"/>
      <c r="O112" s="457" t="s">
        <v>1228</v>
      </c>
      <c r="P112" s="203"/>
      <c r="Q112" s="457" t="s">
        <v>1225</v>
      </c>
      <c r="R112" s="196"/>
      <c r="S112" s="209">
        <f>(D95/D98)*I95*1000</f>
        <v>45000</v>
      </c>
      <c r="T112" s="209">
        <v>0</v>
      </c>
      <c r="U112" s="177"/>
      <c r="V112" s="177"/>
      <c r="W112" s="177"/>
      <c r="X112" s="177"/>
      <c r="Y112" s="177"/>
      <c r="Z112" s="177"/>
    </row>
    <row r="113" spans="1:29" s="195" customFormat="1" ht="12" hidden="1" customHeight="1" x14ac:dyDescent="0.15">
      <c r="A113" s="167"/>
      <c r="B113" s="177"/>
      <c r="C113" s="193"/>
      <c r="D113" s="217"/>
      <c r="E113" s="177"/>
      <c r="F113" s="167"/>
      <c r="L113" s="488"/>
      <c r="M113" s="487" t="str">
        <f>IF(AND(R115&gt;0.2,I95&gt;D100),"O","X")</f>
        <v>O</v>
      </c>
      <c r="N113" s="203" t="s">
        <v>1129</v>
      </c>
      <c r="O113" s="457" t="s">
        <v>1229</v>
      </c>
      <c r="P113" s="203"/>
      <c r="Q113" s="465"/>
      <c r="R113" s="196"/>
      <c r="S113" s="177"/>
      <c r="T113" s="177"/>
      <c r="U113" s="177"/>
      <c r="V113" s="177"/>
      <c r="W113" s="177"/>
      <c r="X113" s="177"/>
      <c r="Y113" s="177"/>
      <c r="Z113" s="177"/>
    </row>
    <row r="114" spans="1:29" s="195" customFormat="1" ht="15.95" hidden="1" customHeight="1" thickBot="1" x14ac:dyDescent="0.2">
      <c r="A114" s="167"/>
      <c r="B114" s="457" t="s">
        <v>1130</v>
      </c>
      <c r="C114" s="193" t="s">
        <v>1101</v>
      </c>
      <c r="D114" s="174">
        <f>D99*D100</f>
        <v>600</v>
      </c>
      <c r="E114" s="177" t="s">
        <v>940</v>
      </c>
      <c r="F114" s="167"/>
      <c r="L114" s="488"/>
      <c r="N114" s="203"/>
      <c r="O114" s="457" t="s">
        <v>1224</v>
      </c>
      <c r="P114" s="211"/>
      <c r="Q114" s="457" t="s">
        <v>1230</v>
      </c>
      <c r="S114" s="209">
        <f>(D95/D98)*I94*1000</f>
        <v>18750</v>
      </c>
      <c r="T114" s="215">
        <f>(D95/D98)*I95*1000</f>
        <v>45000</v>
      </c>
      <c r="U114" s="205"/>
      <c r="V114" s="205"/>
      <c r="W114" s="205"/>
      <c r="X114" s="205"/>
      <c r="Y114" s="205"/>
      <c r="Z114" s="205"/>
      <c r="AA114" s="725"/>
    </row>
    <row r="115" spans="1:29" s="195" customFormat="1" ht="15.95" hidden="1" customHeight="1" thickBot="1" x14ac:dyDescent="0.2">
      <c r="A115" s="167"/>
      <c r="B115" s="457" t="s">
        <v>889</v>
      </c>
      <c r="C115" s="193" t="s">
        <v>1101</v>
      </c>
      <c r="D115" s="174">
        <f>D100*D99^2/6</f>
        <v>600</v>
      </c>
      <c r="E115" s="177" t="s">
        <v>1032</v>
      </c>
      <c r="F115" s="167"/>
      <c r="L115" s="488"/>
      <c r="N115" s="489" t="s">
        <v>1231</v>
      </c>
      <c r="O115" s="490"/>
      <c r="P115" s="491">
        <f>T114/(D117/D99)</f>
        <v>38.973184794178664</v>
      </c>
      <c r="Q115" s="491">
        <f>I129</f>
        <v>110</v>
      </c>
      <c r="R115" s="492">
        <f>P115/Q115</f>
        <v>0.35430167994707878</v>
      </c>
      <c r="U115" s="205"/>
      <c r="V115" s="205"/>
      <c r="W115" s="205"/>
      <c r="X115" s="205"/>
      <c r="Y115" s="205"/>
      <c r="Z115" s="205"/>
      <c r="AA115" s="216"/>
    </row>
    <row r="116" spans="1:29" s="195" customFormat="1" ht="15.95" hidden="1" customHeight="1" x14ac:dyDescent="0.15">
      <c r="A116" s="167"/>
      <c r="B116" s="457" t="s">
        <v>886</v>
      </c>
      <c r="C116" s="193" t="s">
        <v>1101</v>
      </c>
      <c r="D116" s="174">
        <f>D99*IF(D99*13&gt;D100,D100,D99*13)^2/6</f>
        <v>6084</v>
      </c>
      <c r="E116" s="177" t="s">
        <v>1032</v>
      </c>
      <c r="F116" s="167"/>
      <c r="G116" s="167"/>
      <c r="H116" s="167"/>
      <c r="I116" s="167"/>
      <c r="J116" s="488"/>
      <c r="L116" s="488"/>
      <c r="M116" s="457" t="s">
        <v>1296</v>
      </c>
      <c r="N116" s="457" t="s">
        <v>1297</v>
      </c>
      <c r="T116" s="493">
        <f>D100*D99^3/3</f>
        <v>7200</v>
      </c>
      <c r="U116" s="205"/>
      <c r="V116" s="205"/>
      <c r="W116" s="205"/>
      <c r="X116" s="205"/>
      <c r="Y116" s="205"/>
      <c r="Z116" s="205"/>
      <c r="AA116" s="216"/>
    </row>
    <row r="117" spans="1:29" s="195" customFormat="1" ht="15.95" hidden="1" customHeight="1" x14ac:dyDescent="0.15">
      <c r="A117" s="167"/>
      <c r="B117" s="457" t="s">
        <v>1131</v>
      </c>
      <c r="C117" s="193" t="s">
        <v>1101</v>
      </c>
      <c r="D117" s="174">
        <f>D100*D99^3*(1/3-(0.21*D99/D100)*(1-D99^4/(12*D100^4)))</f>
        <v>6927.8402939327998</v>
      </c>
      <c r="E117" s="177" t="s">
        <v>943</v>
      </c>
      <c r="F117" s="167"/>
      <c r="G117" s="167"/>
      <c r="H117" s="167"/>
      <c r="I117" s="167"/>
      <c r="J117" s="167"/>
      <c r="K117" s="488"/>
      <c r="L117" s="488"/>
      <c r="M117" s="457" t="s">
        <v>1131</v>
      </c>
      <c r="N117" s="457" t="s">
        <v>1298</v>
      </c>
      <c r="O117" s="457"/>
      <c r="T117" s="493">
        <f>D100*D99^3*(1/3-(0.21*D99/D100)*(1-D99^4/(12*D100^4)))</f>
        <v>6927.8402939327998</v>
      </c>
      <c r="U117" s="177"/>
      <c r="V117" s="177"/>
      <c r="W117" s="177"/>
      <c r="X117" s="177"/>
      <c r="Y117" s="177"/>
      <c r="Z117" s="177"/>
      <c r="AA117" s="177"/>
    </row>
    <row r="118" spans="1:29" s="195" customFormat="1" ht="15.95" hidden="1" customHeight="1" x14ac:dyDescent="0.15">
      <c r="A118" s="167"/>
      <c r="B118" s="457"/>
      <c r="C118" s="193"/>
      <c r="D118" s="174"/>
      <c r="E118" s="177"/>
      <c r="F118" s="167"/>
      <c r="G118" s="167"/>
      <c r="H118" s="167"/>
      <c r="I118" s="167"/>
      <c r="J118" s="167"/>
      <c r="K118" s="488"/>
      <c r="L118" s="488"/>
      <c r="M118" s="457"/>
      <c r="N118" s="457"/>
      <c r="O118" s="457"/>
      <c r="T118" s="493"/>
      <c r="U118" s="177"/>
      <c r="V118" s="177"/>
      <c r="W118" s="177"/>
      <c r="X118" s="177"/>
      <c r="Y118" s="177"/>
      <c r="Z118" s="177"/>
      <c r="AA118" s="177"/>
    </row>
    <row r="119" spans="1:29" s="195" customFormat="1" ht="15.95" hidden="1" customHeight="1" x14ac:dyDescent="0.15">
      <c r="A119" s="196"/>
      <c r="B119" s="177" t="s">
        <v>1132</v>
      </c>
      <c r="C119" s="177"/>
      <c r="D119" s="177"/>
      <c r="E119" s="177"/>
      <c r="F119" s="457"/>
      <c r="G119" s="197" t="s">
        <v>765</v>
      </c>
      <c r="H119" s="177"/>
      <c r="I119" s="177"/>
      <c r="K119" s="167"/>
      <c r="Q119" s="177"/>
      <c r="R119" s="203"/>
      <c r="U119" s="177"/>
      <c r="V119" s="177"/>
      <c r="W119" s="177"/>
      <c r="X119" s="177"/>
      <c r="Y119" s="177"/>
      <c r="Z119" s="177"/>
      <c r="AA119" s="177"/>
    </row>
    <row r="120" spans="1:29" s="195" customFormat="1" ht="15.95" hidden="1" customHeight="1" x14ac:dyDescent="0.15">
      <c r="A120" s="196"/>
      <c r="B120" s="177"/>
      <c r="C120" s="177"/>
      <c r="D120" s="177"/>
      <c r="E120" s="177"/>
      <c r="F120" s="457"/>
      <c r="G120" s="197"/>
      <c r="H120" s="177"/>
      <c r="I120" s="177"/>
      <c r="K120" s="167"/>
      <c r="Q120" s="177"/>
      <c r="R120" s="203"/>
      <c r="U120" s="177"/>
      <c r="V120" s="177"/>
      <c r="W120" s="177"/>
      <c r="X120" s="177"/>
      <c r="Y120" s="177"/>
      <c r="Z120" s="177"/>
      <c r="AA120" s="177"/>
    </row>
    <row r="121" spans="1:29" s="195" customFormat="1" ht="15.95" hidden="1" customHeight="1" x14ac:dyDescent="0.15">
      <c r="C121" s="197"/>
      <c r="D121" s="197"/>
      <c r="E121" s="197"/>
      <c r="F121" s="457"/>
      <c r="G121" s="457" t="s">
        <v>1133</v>
      </c>
      <c r="H121" s="193" t="s">
        <v>1101</v>
      </c>
      <c r="I121" s="217">
        <v>275</v>
      </c>
      <c r="J121" s="177" t="s">
        <v>1134</v>
      </c>
      <c r="N121" s="203"/>
      <c r="O121" s="203"/>
      <c r="P121" s="203"/>
      <c r="Q121" s="203"/>
      <c r="R121" s="177"/>
      <c r="S121" s="193"/>
      <c r="T121" s="217"/>
      <c r="U121" s="177"/>
      <c r="W121" s="177"/>
      <c r="X121" s="177"/>
      <c r="Y121" s="177"/>
      <c r="Z121" s="177"/>
      <c r="AA121" s="177"/>
    </row>
    <row r="122" spans="1:29" s="195" customFormat="1" ht="15.95" hidden="1" customHeight="1" x14ac:dyDescent="0.15">
      <c r="A122" s="196"/>
      <c r="B122" s="457" t="s">
        <v>1135</v>
      </c>
      <c r="C122" s="193" t="s">
        <v>1101</v>
      </c>
      <c r="D122" s="457" t="s">
        <v>1136</v>
      </c>
      <c r="E122" s="177"/>
      <c r="F122" s="457"/>
      <c r="G122" s="457" t="s">
        <v>1137</v>
      </c>
      <c r="H122" s="193" t="s">
        <v>1101</v>
      </c>
      <c r="I122" s="457" t="s">
        <v>1138</v>
      </c>
      <c r="M122" s="177"/>
      <c r="N122" s="450"/>
      <c r="O122" s="177"/>
      <c r="P122" s="450"/>
      <c r="Q122" s="203"/>
      <c r="R122" s="457"/>
      <c r="S122" s="193"/>
      <c r="T122" s="457"/>
      <c r="U122" s="177"/>
      <c r="W122" s="177"/>
      <c r="X122" s="177"/>
      <c r="Y122" s="177"/>
      <c r="Z122" s="177"/>
      <c r="AA122" s="177"/>
    </row>
    <row r="123" spans="1:29" s="195" customFormat="1" ht="15.95" hidden="1" customHeight="1" x14ac:dyDescent="0.15">
      <c r="A123" s="196"/>
      <c r="B123" s="457"/>
      <c r="C123" s="193" t="s">
        <v>1101</v>
      </c>
      <c r="D123" s="217">
        <f>D108/D115</f>
        <v>0</v>
      </c>
      <c r="E123" s="177" t="s">
        <v>1134</v>
      </c>
      <c r="F123" s="457"/>
      <c r="G123" s="193"/>
      <c r="H123" s="193" t="s">
        <v>1101</v>
      </c>
      <c r="I123" s="217">
        <f>I121*0.75</f>
        <v>206.25</v>
      </c>
      <c r="J123" s="177" t="s">
        <v>1134</v>
      </c>
      <c r="M123" s="449"/>
      <c r="N123" s="193"/>
      <c r="O123" s="166"/>
      <c r="P123" s="177"/>
      <c r="Q123" s="203"/>
      <c r="R123" s="457"/>
      <c r="S123" s="193"/>
      <c r="T123" s="457"/>
      <c r="W123" s="177"/>
      <c r="X123" s="177"/>
      <c r="Y123" s="177"/>
      <c r="Z123" s="177"/>
      <c r="AA123" s="177"/>
    </row>
    <row r="124" spans="1:29" s="195" customFormat="1" ht="15.95" hidden="1" customHeight="1" x14ac:dyDescent="0.15">
      <c r="A124" s="196"/>
      <c r="B124" s="457" t="s">
        <v>1139</v>
      </c>
      <c r="C124" s="193" t="s">
        <v>1101</v>
      </c>
      <c r="D124" s="457" t="s">
        <v>1140</v>
      </c>
      <c r="E124" s="177"/>
      <c r="F124" s="457"/>
      <c r="G124" s="457" t="s">
        <v>1141</v>
      </c>
      <c r="H124" s="193" t="s">
        <v>1101</v>
      </c>
      <c r="I124" s="457" t="s">
        <v>1142</v>
      </c>
      <c r="M124" s="457"/>
      <c r="N124" s="457" t="s">
        <v>1299</v>
      </c>
      <c r="O124" s="203"/>
      <c r="P124" s="203"/>
      <c r="Q124" s="203"/>
      <c r="R124" s="457"/>
      <c r="S124" s="193"/>
      <c r="T124" s="457"/>
      <c r="W124" s="177"/>
      <c r="X124" s="177"/>
      <c r="Y124" s="177"/>
      <c r="Z124" s="177"/>
      <c r="AA124" s="177"/>
    </row>
    <row r="125" spans="1:29" s="195" customFormat="1" ht="15.95" hidden="1" customHeight="1" x14ac:dyDescent="0.15">
      <c r="A125" s="196"/>
      <c r="B125" s="457"/>
      <c r="C125" s="193" t="s">
        <v>1101</v>
      </c>
      <c r="D125" s="217">
        <f>D110/D116</f>
        <v>3.081854043392505</v>
      </c>
      <c r="E125" s="177" t="s">
        <v>1134</v>
      </c>
      <c r="F125" s="457"/>
      <c r="G125" s="193"/>
      <c r="H125" s="193" t="s">
        <v>1101</v>
      </c>
      <c r="I125" s="217">
        <f>I121*0.6</f>
        <v>165</v>
      </c>
      <c r="J125" s="177" t="s">
        <v>1134</v>
      </c>
      <c r="M125" s="203"/>
      <c r="N125" s="457" t="s">
        <v>1300</v>
      </c>
      <c r="O125" s="203"/>
      <c r="P125" s="203"/>
      <c r="Q125" s="203"/>
      <c r="S125" s="193"/>
      <c r="T125" s="457"/>
      <c r="W125" s="177"/>
      <c r="X125" s="177"/>
      <c r="Y125" s="177"/>
      <c r="Z125" s="177"/>
      <c r="AA125" s="177"/>
    </row>
    <row r="126" spans="1:29" s="195" customFormat="1" ht="15.95" hidden="1" customHeight="1" x14ac:dyDescent="0.15">
      <c r="A126" s="196"/>
      <c r="B126" s="457" t="s">
        <v>1143</v>
      </c>
      <c r="C126" s="193" t="s">
        <v>1101</v>
      </c>
      <c r="D126" s="457" t="s">
        <v>1144</v>
      </c>
      <c r="E126" s="177"/>
      <c r="F126" s="457"/>
      <c r="G126" s="457" t="s">
        <v>1145</v>
      </c>
      <c r="H126" s="193" t="s">
        <v>1101</v>
      </c>
      <c r="I126" s="457" t="s">
        <v>1142</v>
      </c>
      <c r="L126" s="166"/>
      <c r="O126" s="177"/>
      <c r="P126" s="177"/>
      <c r="Q126" s="177"/>
      <c r="R126" s="457"/>
      <c r="S126" s="193"/>
      <c r="T126" s="457"/>
      <c r="W126" s="177"/>
      <c r="X126" s="177"/>
      <c r="Y126" s="177"/>
      <c r="Z126" s="177"/>
      <c r="AA126" s="177"/>
    </row>
    <row r="127" spans="1:29" s="195" customFormat="1" ht="15.95" hidden="1" customHeight="1" x14ac:dyDescent="0.15">
      <c r="A127" s="196"/>
      <c r="B127" s="457"/>
      <c r="C127" s="193" t="s">
        <v>1101</v>
      </c>
      <c r="D127" s="217">
        <v>0</v>
      </c>
      <c r="E127" s="177" t="s">
        <v>1134</v>
      </c>
      <c r="F127" s="457"/>
      <c r="G127" s="193"/>
      <c r="H127" s="193" t="s">
        <v>1101</v>
      </c>
      <c r="I127" s="217">
        <f>0.6*I121</f>
        <v>165</v>
      </c>
      <c r="J127" s="177" t="s">
        <v>1134</v>
      </c>
      <c r="L127" s="166"/>
      <c r="M127" s="457" t="s">
        <v>1146</v>
      </c>
      <c r="O127" s="177"/>
      <c r="P127" s="177"/>
      <c r="Q127" s="177"/>
      <c r="R127" s="457"/>
      <c r="S127" s="193"/>
      <c r="T127" s="457"/>
      <c r="V127" s="457"/>
      <c r="W127" s="450"/>
      <c r="X127" s="450"/>
      <c r="Y127" s="450"/>
      <c r="Z127" s="450"/>
      <c r="AA127" s="450"/>
      <c r="AB127" s="450"/>
      <c r="AC127" s="450"/>
    </row>
    <row r="128" spans="1:29" s="195" customFormat="1" ht="15.95" hidden="1" customHeight="1" x14ac:dyDescent="0.15">
      <c r="A128" s="196"/>
      <c r="B128" s="457" t="s">
        <v>1147</v>
      </c>
      <c r="C128" s="193" t="s">
        <v>1101</v>
      </c>
      <c r="D128" s="457" t="s">
        <v>1301</v>
      </c>
      <c r="E128" s="177"/>
      <c r="F128" s="457"/>
      <c r="G128" s="457" t="s">
        <v>1148</v>
      </c>
      <c r="H128" s="193" t="s">
        <v>1101</v>
      </c>
      <c r="I128" s="457" t="s">
        <v>1149</v>
      </c>
      <c r="J128" s="177"/>
      <c r="L128" s="166"/>
      <c r="M128" s="193" t="str">
        <f>IF(D112=0,"X","최종")</f>
        <v>최종</v>
      </c>
      <c r="N128" s="457" t="s">
        <v>1301</v>
      </c>
      <c r="O128" s="177"/>
      <c r="P128" s="177"/>
      <c r="Q128" s="177"/>
      <c r="R128" s="457"/>
      <c r="S128" s="193"/>
      <c r="T128" s="457"/>
      <c r="U128" s="203"/>
      <c r="V128" s="177"/>
      <c r="W128" s="177"/>
      <c r="X128" s="177"/>
      <c r="Y128" s="177"/>
      <c r="Z128" s="177"/>
    </row>
    <row r="129" spans="1:41" s="195" customFormat="1" ht="15.95" hidden="1" customHeight="1" x14ac:dyDescent="0.15">
      <c r="A129" s="196"/>
      <c r="B129" s="197"/>
      <c r="C129" s="193" t="s">
        <v>1101</v>
      </c>
      <c r="D129" s="217">
        <f>SQRT(D94^2+D95^2)/(D114*D98)*10^3+D112/(D117/D99)</f>
        <v>39.598184794178664</v>
      </c>
      <c r="E129" s="177" t="s">
        <v>1134</v>
      </c>
      <c r="F129" s="457"/>
      <c r="G129" s="177"/>
      <c r="H129" s="193" t="s">
        <v>1101</v>
      </c>
      <c r="I129" s="217">
        <f>0.4*I121</f>
        <v>110</v>
      </c>
      <c r="J129" s="177" t="s">
        <v>1134</v>
      </c>
      <c r="L129" s="177"/>
      <c r="M129" s="193" t="str">
        <f>IF(D112=0,"최종","X")</f>
        <v>X</v>
      </c>
      <c r="N129" s="457" t="s">
        <v>1232</v>
      </c>
      <c r="P129" s="203"/>
      <c r="Q129" s="177"/>
      <c r="R129" s="457"/>
      <c r="S129" s="193"/>
      <c r="T129" s="457"/>
      <c r="U129" s="203"/>
      <c r="V129" s="177"/>
      <c r="W129" s="177"/>
      <c r="X129" s="177"/>
      <c r="Y129" s="177"/>
      <c r="Z129" s="177"/>
    </row>
    <row r="130" spans="1:41" s="195" customFormat="1" ht="15.95" hidden="1" customHeight="1" x14ac:dyDescent="0.15">
      <c r="A130" s="196"/>
      <c r="C130" s="193"/>
      <c r="D130" s="217"/>
      <c r="E130" s="177"/>
      <c r="F130" s="457"/>
      <c r="G130" s="177"/>
      <c r="H130" s="193"/>
      <c r="I130" s="217"/>
      <c r="J130" s="177"/>
      <c r="L130" s="177"/>
      <c r="M130" s="457" t="s">
        <v>1150</v>
      </c>
      <c r="O130" s="193"/>
      <c r="P130" s="203"/>
      <c r="Q130" s="177"/>
      <c r="V130" s="177"/>
      <c r="W130" s="177"/>
      <c r="X130" s="177"/>
      <c r="Y130" s="177"/>
      <c r="Z130" s="177"/>
    </row>
    <row r="131" spans="1:41" s="195" customFormat="1" ht="15.95" hidden="1" customHeight="1" x14ac:dyDescent="0.15">
      <c r="A131" s="196"/>
      <c r="C131" s="193"/>
      <c r="D131" s="217"/>
      <c r="E131" s="177"/>
      <c r="F131" s="457"/>
      <c r="G131" s="177"/>
      <c r="H131" s="193"/>
      <c r="I131" s="217"/>
      <c r="J131" s="177"/>
      <c r="L131" s="177"/>
      <c r="N131" s="457"/>
      <c r="O131" s="193"/>
      <c r="P131" s="203"/>
      <c r="Q131" s="177"/>
      <c r="V131" s="177"/>
      <c r="W131" s="177"/>
      <c r="X131" s="177"/>
      <c r="Y131" s="177"/>
      <c r="Z131" s="177"/>
    </row>
    <row r="132" spans="1:41" s="195" customFormat="1" ht="15.95" hidden="1" customHeight="1" x14ac:dyDescent="0.15">
      <c r="A132" s="196"/>
      <c r="B132" s="166" t="s">
        <v>1151</v>
      </c>
      <c r="C132" s="177"/>
      <c r="D132" s="177"/>
      <c r="E132" s="177"/>
      <c r="F132" s="177"/>
      <c r="G132" s="177"/>
      <c r="H132" s="177"/>
      <c r="I132" s="177"/>
      <c r="L132" s="177"/>
      <c r="N132" s="193"/>
      <c r="O132" s="193"/>
      <c r="P132" s="203"/>
      <c r="Q132" s="177"/>
      <c r="V132" s="177"/>
      <c r="W132" s="177"/>
      <c r="X132" s="177"/>
      <c r="Y132" s="177"/>
      <c r="Z132" s="177"/>
    </row>
    <row r="133" spans="1:41" s="195" customFormat="1" ht="12" hidden="1" customHeight="1" x14ac:dyDescent="0.15">
      <c r="A133" s="196"/>
      <c r="B133" s="166"/>
      <c r="C133" s="177"/>
      <c r="D133" s="177"/>
      <c r="E133" s="177"/>
      <c r="F133" s="177"/>
      <c r="G133" s="177"/>
      <c r="H133" s="177"/>
      <c r="I133" s="177"/>
      <c r="N133" s="457"/>
      <c r="Q133" s="177"/>
      <c r="V133" s="177"/>
      <c r="W133" s="177"/>
      <c r="X133" s="177"/>
      <c r="Y133" s="177"/>
      <c r="Z133" s="177"/>
    </row>
    <row r="134" spans="1:41" s="195" customFormat="1" ht="15.95" hidden="1" customHeight="1" x14ac:dyDescent="0.15">
      <c r="B134" s="457" t="s">
        <v>1152</v>
      </c>
      <c r="C134" s="193"/>
      <c r="D134" s="494"/>
      <c r="E134" s="193"/>
      <c r="F134" s="193" t="s">
        <v>1101</v>
      </c>
      <c r="G134" s="205">
        <f>IF(D112=0,R134,R135)</f>
        <v>0.14826602221840549</v>
      </c>
      <c r="H134" s="206" t="str">
        <f>IF(G134&gt;I134,"&gt;","&lt;")</f>
        <v>&lt;</v>
      </c>
      <c r="I134" s="207">
        <v>1</v>
      </c>
      <c r="J134" s="208" t="str">
        <f>IF(G134&lt;I134,"O.K.","N.G.")</f>
        <v>O.K.</v>
      </c>
      <c r="M134" s="193" t="str">
        <f>IF(D112=0,"최종","X")</f>
        <v>X</v>
      </c>
      <c r="N134" s="457" t="s">
        <v>1233</v>
      </c>
      <c r="O134" s="193"/>
      <c r="P134" s="494"/>
      <c r="Q134" s="193"/>
      <c r="R134" s="299">
        <f>(D127/I127+D123/I123+D125/I125)</f>
        <v>1.867790329328791E-2</v>
      </c>
      <c r="V134" s="177"/>
      <c r="W134" s="177"/>
      <c r="X134" s="177"/>
      <c r="Y134" s="177"/>
      <c r="Z134" s="177"/>
    </row>
    <row r="135" spans="1:41" s="195" customFormat="1" ht="15.95" hidden="1" customHeight="1" x14ac:dyDescent="0.15">
      <c r="A135" s="196"/>
      <c r="B135" s="457" t="s">
        <v>1153</v>
      </c>
      <c r="F135" s="193" t="s">
        <v>1101</v>
      </c>
      <c r="G135" s="205">
        <f>D129/I129</f>
        <v>0.35998349812889696</v>
      </c>
      <c r="H135" s="206" t="str">
        <f>IF(G135&gt;I135,"&gt;","&lt;")</f>
        <v>&lt;</v>
      </c>
      <c r="I135" s="207">
        <v>1</v>
      </c>
      <c r="J135" s="208" t="str">
        <f>IF(G135&lt;I135,"O.K.","N.G.")</f>
        <v>O.K.</v>
      </c>
      <c r="M135" s="193" t="str">
        <f>IF(D112=0,"X","최종")</f>
        <v>최종</v>
      </c>
      <c r="N135" s="457" t="s">
        <v>1152</v>
      </c>
      <c r="P135" s="177"/>
      <c r="Q135" s="177"/>
      <c r="R135" s="299">
        <f>(D127/I127+D123/I123+D125/I125)+(D129/I129)^2</f>
        <v>0.14826602221840549</v>
      </c>
      <c r="V135" s="177"/>
      <c r="W135" s="177"/>
      <c r="X135" s="177"/>
      <c r="Y135" s="177"/>
      <c r="Z135" s="177"/>
      <c r="AA135" s="177"/>
    </row>
    <row r="136" spans="1:41" s="195" customFormat="1" ht="15.95" hidden="1" customHeight="1" x14ac:dyDescent="0.15">
      <c r="A136" s="196"/>
      <c r="B136" s="457"/>
      <c r="F136" s="193"/>
      <c r="G136" s="205"/>
      <c r="H136" s="206"/>
      <c r="I136" s="207"/>
      <c r="J136" s="206"/>
      <c r="M136" s="177"/>
      <c r="N136" s="193"/>
      <c r="O136" s="193"/>
      <c r="P136" s="196"/>
      <c r="Q136" s="177"/>
      <c r="V136" s="177"/>
      <c r="W136" s="177"/>
      <c r="X136" s="177"/>
      <c r="Y136" s="177"/>
      <c r="Z136" s="177"/>
      <c r="AA136" s="177"/>
    </row>
    <row r="137" spans="1:41" s="218" customFormat="1" ht="15.75" hidden="1" customHeight="1" x14ac:dyDescent="0.15">
      <c r="A137" s="167">
        <v>666666</v>
      </c>
      <c r="B137" s="2" t="str">
        <f>CONCATENATE(COUNT($A$2:A137),") CHECK FOR STUD ANCHOR")</f>
        <v>4) CHECK FOR STUD ANCHOR</v>
      </c>
      <c r="F137" s="267" t="str">
        <f>P137</f>
        <v>( Ø12-2EA )</v>
      </c>
      <c r="M137" s="193" t="s">
        <v>1302</v>
      </c>
      <c r="N137" s="198" t="str">
        <f>CONCATENATE("· ",N145,"Ø",D144,"-",D145,"EA")</f>
        <v>· Ø12-2EA</v>
      </c>
      <c r="P137" s="267" t="str">
        <f>CONCATENATE("( ",N145,"Ø",D144,"-",D145,"EA"," )")</f>
        <v>( Ø12-2EA )</v>
      </c>
      <c r="Q137" s="263"/>
      <c r="S137" s="263"/>
      <c r="T137" s="263"/>
      <c r="U137" s="263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</row>
    <row r="138" spans="1:41" s="218" customFormat="1" ht="15.95" hidden="1" customHeight="1" thickBot="1" x14ac:dyDescent="0.2">
      <c r="M138" s="193" t="s">
        <v>1303</v>
      </c>
      <c r="N138" s="219">
        <f>D266</f>
        <v>0.10190076995045007</v>
      </c>
      <c r="S138" s="201"/>
      <c r="T138" s="201"/>
      <c r="U138" s="201"/>
      <c r="V138" s="201"/>
      <c r="W138" s="201"/>
      <c r="X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</row>
    <row r="139" spans="1:41" s="218" customFormat="1" ht="15.95" hidden="1" customHeight="1" thickBot="1" x14ac:dyDescent="0.2">
      <c r="B139" s="177" t="s">
        <v>1304</v>
      </c>
      <c r="M139" s="177"/>
      <c r="N139" s="220" t="s">
        <v>1305</v>
      </c>
      <c r="O139" s="221" t="s">
        <v>1306</v>
      </c>
      <c r="P139" s="224" t="s">
        <v>1307</v>
      </c>
      <c r="Q139" s="373"/>
      <c r="R139" s="374"/>
      <c r="S139" s="201"/>
      <c r="T139" s="201"/>
      <c r="U139" s="201"/>
      <c r="V139" s="201"/>
      <c r="W139" s="201"/>
      <c r="X139" s="201"/>
      <c r="AO139" s="201"/>
    </row>
    <row r="140" spans="1:41" s="218" customFormat="1" ht="15.95" hidden="1" customHeight="1" thickBot="1" x14ac:dyDescent="0.2">
      <c r="B140" s="177"/>
      <c r="M140" s="177"/>
      <c r="N140" s="496">
        <v>1</v>
      </c>
      <c r="O140" s="227">
        <v>1</v>
      </c>
      <c r="P140" s="224" t="s">
        <v>1308</v>
      </c>
      <c r="Q140" s="373"/>
      <c r="R140" s="374"/>
      <c r="S140" s="201"/>
      <c r="T140" s="201"/>
      <c r="U140" s="201"/>
      <c r="V140" s="201"/>
      <c r="W140" s="201"/>
      <c r="X140" s="201"/>
      <c r="AO140" s="201"/>
    </row>
    <row r="141" spans="1:41" s="177" customFormat="1" ht="15.95" hidden="1" customHeight="1" x14ac:dyDescent="0.15">
      <c r="A141" s="196"/>
      <c r="B141" s="457" t="s">
        <v>766</v>
      </c>
      <c r="C141" s="193" t="s">
        <v>1309</v>
      </c>
      <c r="D141" s="176">
        <f>D7</f>
        <v>0</v>
      </c>
      <c r="E141" s="177" t="s">
        <v>1310</v>
      </c>
      <c r="G141" s="495" t="s">
        <v>768</v>
      </c>
      <c r="H141" s="193" t="s">
        <v>1309</v>
      </c>
      <c r="I141" s="174">
        <f>P37</f>
        <v>50</v>
      </c>
      <c r="J141" s="177" t="s">
        <v>1025</v>
      </c>
      <c r="L141" s="375"/>
      <c r="N141" s="218"/>
      <c r="O141" s="226">
        <v>2</v>
      </c>
      <c r="P141" s="224" t="s">
        <v>1311</v>
      </c>
      <c r="Q141" s="373"/>
      <c r="R141" s="374"/>
      <c r="S141" s="201"/>
      <c r="T141" s="201"/>
      <c r="U141" s="201"/>
      <c r="V141" s="201"/>
      <c r="W141" s="201"/>
      <c r="X141" s="201"/>
      <c r="Y141" s="218"/>
      <c r="AO141" s="201"/>
    </row>
    <row r="142" spans="1:41" s="218" customFormat="1" ht="15.95" hidden="1" customHeight="1" thickBot="1" x14ac:dyDescent="0.2">
      <c r="B142" s="457" t="s">
        <v>769</v>
      </c>
      <c r="C142" s="193" t="s">
        <v>1309</v>
      </c>
      <c r="D142" s="176">
        <f>D8</f>
        <v>0.75</v>
      </c>
      <c r="E142" s="177" t="s">
        <v>1310</v>
      </c>
      <c r="G142" s="495" t="s">
        <v>770</v>
      </c>
      <c r="H142" s="193" t="s">
        <v>1309</v>
      </c>
      <c r="I142" s="174">
        <f>P38</f>
        <v>120</v>
      </c>
      <c r="J142" s="177" t="s">
        <v>1025</v>
      </c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AA142" s="201"/>
      <c r="AO142" s="201"/>
    </row>
    <row r="143" spans="1:41" s="218" customFormat="1" ht="15.95" hidden="1" customHeight="1" thickBot="1" x14ac:dyDescent="0.2">
      <c r="M143" s="177"/>
      <c r="N143" s="220" t="s">
        <v>1305</v>
      </c>
      <c r="O143" s="225" t="s">
        <v>1306</v>
      </c>
      <c r="P143" s="497" t="s">
        <v>1312</v>
      </c>
      <c r="R143" s="220" t="s">
        <v>1305</v>
      </c>
      <c r="S143" s="376" t="s">
        <v>1306</v>
      </c>
      <c r="T143" s="834" t="s">
        <v>1313</v>
      </c>
      <c r="U143" s="835"/>
      <c r="V143" s="374"/>
      <c r="AA143" s="201"/>
      <c r="AO143" s="201"/>
    </row>
    <row r="144" spans="1:41" s="218" customFormat="1" ht="15.95" hidden="1" customHeight="1" thickBot="1" x14ac:dyDescent="0.2">
      <c r="B144" s="495" t="s">
        <v>1314</v>
      </c>
      <c r="C144" s="193"/>
      <c r="D144" s="710">
        <f>P33</f>
        <v>12</v>
      </c>
      <c r="E144" s="201"/>
      <c r="G144" s="201" t="s">
        <v>1315</v>
      </c>
      <c r="J144" s="201"/>
      <c r="K144" s="201"/>
      <c r="L144" s="177"/>
      <c r="M144" s="177"/>
      <c r="N144" s="474">
        <v>2</v>
      </c>
      <c r="O144" s="225">
        <v>1</v>
      </c>
      <c r="P144" s="169" t="s">
        <v>1316</v>
      </c>
      <c r="R144" s="474">
        <v>1</v>
      </c>
      <c r="S144" s="377"/>
      <c r="T144" s="226" t="s">
        <v>1317</v>
      </c>
      <c r="U144" s="378" t="s">
        <v>771</v>
      </c>
      <c r="AA144" s="201"/>
      <c r="AO144" s="201"/>
    </row>
    <row r="145" spans="2:41" s="218" customFormat="1" ht="15.95" hidden="1" customHeight="1" thickBot="1" x14ac:dyDescent="0.2">
      <c r="B145" s="455" t="s">
        <v>1318</v>
      </c>
      <c r="C145" s="193" t="s">
        <v>1309</v>
      </c>
      <c r="D145" s="196">
        <f>P34</f>
        <v>2</v>
      </c>
      <c r="E145" s="177" t="s">
        <v>1319</v>
      </c>
      <c r="G145" s="201" t="s">
        <v>1320</v>
      </c>
      <c r="J145" s="201"/>
      <c r="K145" s="201"/>
      <c r="L145" s="177"/>
      <c r="N145" s="379" t="str">
        <f>IF(N144=1,"WSA / ","")</f>
        <v/>
      </c>
      <c r="O145" s="225">
        <v>2</v>
      </c>
      <c r="P145" s="169" t="s">
        <v>1321</v>
      </c>
      <c r="S145" s="170">
        <v>1</v>
      </c>
      <c r="T145" s="528" t="s">
        <v>772</v>
      </c>
      <c r="U145" s="380">
        <v>1</v>
      </c>
      <c r="AA145" s="201"/>
      <c r="AO145" s="201"/>
    </row>
    <row r="146" spans="2:41" s="218" customFormat="1" ht="15.95" hidden="1" customHeight="1" x14ac:dyDescent="0.15">
      <c r="B146" s="495" t="s">
        <v>773</v>
      </c>
      <c r="C146" s="193" t="s">
        <v>1309</v>
      </c>
      <c r="D146" s="381">
        <f>D147</f>
        <v>70</v>
      </c>
      <c r="E146" s="201" t="s">
        <v>1025</v>
      </c>
      <c r="G146" s="201" t="s">
        <v>1322</v>
      </c>
      <c r="H146" s="201"/>
      <c r="I146" s="201"/>
      <c r="J146" s="201"/>
      <c r="L146" s="177"/>
      <c r="O146" s="218" t="s">
        <v>1323</v>
      </c>
      <c r="R146" s="201"/>
      <c r="S146" s="170">
        <v>2</v>
      </c>
      <c r="T146" s="528" t="s">
        <v>774</v>
      </c>
      <c r="U146" s="380">
        <v>1.1000000000000001</v>
      </c>
      <c r="AA146" s="201"/>
      <c r="AO146" s="201"/>
    </row>
    <row r="147" spans="2:41" s="218" customFormat="1" ht="15.95" hidden="1" customHeight="1" x14ac:dyDescent="0.15">
      <c r="B147" s="495" t="s">
        <v>775</v>
      </c>
      <c r="C147" s="193" t="s">
        <v>1309</v>
      </c>
      <c r="D147" s="381">
        <f>Q185</f>
        <v>70</v>
      </c>
      <c r="E147" s="201" t="s">
        <v>1025</v>
      </c>
      <c r="G147" s="201" t="s">
        <v>1324</v>
      </c>
      <c r="H147" s="201"/>
      <c r="I147" s="201"/>
      <c r="J147" s="201"/>
      <c r="L147" s="177"/>
      <c r="R147" s="166"/>
      <c r="S147" s="170">
        <v>3</v>
      </c>
      <c r="T147" s="528" t="s">
        <v>776</v>
      </c>
      <c r="U147" s="380">
        <v>1.2</v>
      </c>
      <c r="AA147" s="201"/>
      <c r="AO147" s="201"/>
    </row>
    <row r="148" spans="2:41" s="218" customFormat="1" ht="15.95" hidden="1" customHeight="1" x14ac:dyDescent="0.15">
      <c r="B148" s="495" t="s">
        <v>777</v>
      </c>
      <c r="C148" s="193" t="s">
        <v>1309</v>
      </c>
      <c r="D148" s="174">
        <f>P35</f>
        <v>150</v>
      </c>
      <c r="E148" s="201" t="s">
        <v>1025</v>
      </c>
      <c r="G148" s="201" t="s">
        <v>1325</v>
      </c>
      <c r="H148" s="201"/>
      <c r="I148" s="201"/>
      <c r="J148" s="201"/>
      <c r="L148" s="177"/>
      <c r="S148" s="170">
        <v>4</v>
      </c>
      <c r="T148" s="528" t="s">
        <v>778</v>
      </c>
      <c r="U148" s="380">
        <v>1.5</v>
      </c>
      <c r="AA148" s="201"/>
    </row>
    <row r="149" spans="2:41" s="218" customFormat="1" ht="15.95" hidden="1" customHeight="1" x14ac:dyDescent="0.15">
      <c r="B149" s="495" t="s">
        <v>779</v>
      </c>
      <c r="C149" s="193" t="s">
        <v>1309</v>
      </c>
      <c r="D149" s="174">
        <f>P36</f>
        <v>100</v>
      </c>
      <c r="E149" s="201" t="s">
        <v>1326</v>
      </c>
      <c r="G149" s="201" t="s">
        <v>1327</v>
      </c>
      <c r="H149" s="201"/>
      <c r="I149" s="201"/>
      <c r="J149" s="201"/>
      <c r="L149" s="177"/>
      <c r="S149" s="170">
        <v>5</v>
      </c>
      <c r="T149" s="528" t="s">
        <v>781</v>
      </c>
      <c r="U149" s="380">
        <v>2</v>
      </c>
      <c r="AA149" s="201"/>
    </row>
    <row r="150" spans="2:41" s="218" customFormat="1" ht="15.95" hidden="1" customHeight="1" x14ac:dyDescent="0.15">
      <c r="B150" s="495" t="s">
        <v>782</v>
      </c>
      <c r="C150" s="193" t="s">
        <v>1309</v>
      </c>
      <c r="D150" s="174">
        <v>24</v>
      </c>
      <c r="E150" s="201" t="s">
        <v>783</v>
      </c>
      <c r="G150" s="201" t="s">
        <v>1328</v>
      </c>
      <c r="H150" s="217"/>
      <c r="I150" s="201"/>
      <c r="J150" s="201"/>
      <c r="AA150" s="201"/>
    </row>
    <row r="151" spans="2:41" s="218" customFormat="1" ht="15.95" hidden="1" customHeight="1" x14ac:dyDescent="0.15">
      <c r="B151" s="495" t="s">
        <v>784</v>
      </c>
      <c r="C151" s="193" t="s">
        <v>1309</v>
      </c>
      <c r="D151" s="174">
        <f>P39</f>
        <v>50</v>
      </c>
      <c r="E151" s="177" t="s">
        <v>1025</v>
      </c>
      <c r="G151" s="201" t="s">
        <v>1329</v>
      </c>
      <c r="H151" s="217"/>
      <c r="I151" s="201"/>
      <c r="J151" s="201"/>
      <c r="N151" s="373"/>
      <c r="O151" s="373"/>
      <c r="P151" s="373"/>
      <c r="Q151" s="382"/>
      <c r="R151" s="498">
        <v>8</v>
      </c>
      <c r="S151" s="498">
        <v>10</v>
      </c>
      <c r="T151" s="498">
        <v>12</v>
      </c>
      <c r="U151" s="498">
        <v>16</v>
      </c>
      <c r="V151" s="499">
        <v>20</v>
      </c>
    </row>
    <row r="152" spans="2:41" s="218" customFormat="1" ht="15.95" hidden="1" customHeight="1" x14ac:dyDescent="0.15">
      <c r="B152" s="495" t="s">
        <v>785</v>
      </c>
      <c r="C152" s="193" t="s">
        <v>1309</v>
      </c>
      <c r="D152" s="174">
        <f>P40</f>
        <v>60</v>
      </c>
      <c r="E152" s="177" t="s">
        <v>1025</v>
      </c>
      <c r="G152" s="201" t="s">
        <v>1329</v>
      </c>
      <c r="N152" s="373" t="s">
        <v>1330</v>
      </c>
      <c r="O152" s="373"/>
      <c r="P152" s="373"/>
      <c r="Q152" s="382"/>
      <c r="R152" s="500">
        <v>100</v>
      </c>
      <c r="S152" s="500">
        <v>100</v>
      </c>
      <c r="T152" s="500">
        <v>140</v>
      </c>
      <c r="U152" s="500">
        <v>170</v>
      </c>
      <c r="V152" s="501">
        <v>210</v>
      </c>
    </row>
    <row r="153" spans="2:41" s="218" customFormat="1" ht="15.95" hidden="1" customHeight="1" x14ac:dyDescent="0.15">
      <c r="B153" s="251"/>
      <c r="C153" s="193"/>
      <c r="D153" s="383"/>
      <c r="E153" s="177"/>
      <c r="N153" s="373" t="s">
        <v>1331</v>
      </c>
      <c r="O153" s="373"/>
      <c r="P153" s="373"/>
      <c r="Q153" s="382"/>
      <c r="R153" s="500">
        <v>100</v>
      </c>
      <c r="S153" s="500">
        <v>100</v>
      </c>
      <c r="T153" s="500">
        <v>100</v>
      </c>
      <c r="U153" s="500">
        <v>130</v>
      </c>
      <c r="V153" s="501">
        <v>160</v>
      </c>
    </row>
    <row r="154" spans="2:41" s="218" customFormat="1" ht="15.95" hidden="1" customHeight="1" x14ac:dyDescent="0.15">
      <c r="B154" s="177" t="s">
        <v>786</v>
      </c>
      <c r="C154" s="193"/>
      <c r="D154" s="176"/>
      <c r="E154" s="177"/>
      <c r="N154" s="373" t="s">
        <v>1332</v>
      </c>
      <c r="O154" s="373"/>
      <c r="P154" s="373"/>
      <c r="Q154" s="382"/>
      <c r="R154" s="500">
        <v>45</v>
      </c>
      <c r="S154" s="500">
        <v>50</v>
      </c>
      <c r="T154" s="500">
        <v>70</v>
      </c>
      <c r="U154" s="500">
        <v>80</v>
      </c>
      <c r="V154" s="501">
        <v>100</v>
      </c>
    </row>
    <row r="155" spans="2:41" s="218" customFormat="1" ht="15.95" hidden="1" customHeight="1" x14ac:dyDescent="0.15">
      <c r="B155" s="228"/>
      <c r="C155" s="193"/>
      <c r="D155" s="268"/>
      <c r="E155" s="177"/>
      <c r="N155" s="373" t="s">
        <v>1333</v>
      </c>
      <c r="O155" s="373"/>
      <c r="P155" s="373"/>
      <c r="Q155" s="382"/>
      <c r="R155" s="500">
        <v>35</v>
      </c>
      <c r="S155" s="500">
        <v>42</v>
      </c>
      <c r="T155" s="500">
        <v>50</v>
      </c>
      <c r="U155" s="500">
        <v>64</v>
      </c>
      <c r="V155" s="501">
        <v>78</v>
      </c>
    </row>
    <row r="156" spans="2:41" s="218" customFormat="1" ht="15.95" hidden="1" customHeight="1" thickBot="1" x14ac:dyDescent="0.2">
      <c r="B156" s="229" t="s">
        <v>1334</v>
      </c>
    </row>
    <row r="157" spans="2:41" s="218" customFormat="1" ht="15.95" hidden="1" customHeight="1" thickBot="1" x14ac:dyDescent="0.2">
      <c r="N157" s="836" t="s">
        <v>1335</v>
      </c>
      <c r="O157" s="837"/>
      <c r="P157" s="253"/>
      <c r="Q157" s="244"/>
      <c r="R157" s="230"/>
      <c r="S157" s="230"/>
    </row>
    <row r="158" spans="2:41" s="201" customFormat="1" ht="15.95" hidden="1" customHeight="1" x14ac:dyDescent="0.15">
      <c r="B158" s="495" t="s">
        <v>787</v>
      </c>
      <c r="C158" s="502" t="s">
        <v>1309</v>
      </c>
      <c r="D158" s="461" t="s">
        <v>1221</v>
      </c>
      <c r="E158" s="177"/>
      <c r="F158" s="177"/>
      <c r="M158" s="177"/>
      <c r="N158" s="503" t="s">
        <v>788</v>
      </c>
      <c r="O158" s="504" t="s">
        <v>1336</v>
      </c>
      <c r="P158" s="232"/>
      <c r="Q158" s="232"/>
      <c r="R158" s="249">
        <f>SQRT(D163^2+D168^2)</f>
        <v>0.95873443288679694</v>
      </c>
      <c r="S158" s="232" t="s">
        <v>1310</v>
      </c>
      <c r="T158" s="198"/>
      <c r="AA158" s="218"/>
      <c r="AO158" s="218"/>
    </row>
    <row r="159" spans="2:41" s="201" customFormat="1" ht="15.95" hidden="1" customHeight="1" thickBot="1" x14ac:dyDescent="0.2">
      <c r="B159" s="233"/>
      <c r="C159" s="502" t="s">
        <v>1309</v>
      </c>
      <c r="D159" s="383">
        <f>((D141/D145)*(I141+0.85*D151))/(0.85*D151)</f>
        <v>0</v>
      </c>
      <c r="E159" s="177" t="s">
        <v>1310</v>
      </c>
      <c r="M159" s="177"/>
      <c r="N159" s="505" t="s">
        <v>789</v>
      </c>
      <c r="O159" s="238" t="s">
        <v>1337</v>
      </c>
      <c r="P159" s="238"/>
      <c r="Q159" s="238"/>
      <c r="R159" s="249">
        <f>(((COS(D175*PI()/180)/D206)^1.5)+((SIN(D175*PI()/180)/D252)^1.5))^-(2/3)</f>
        <v>9.4085101943095033</v>
      </c>
      <c r="S159" s="232" t="s">
        <v>1310</v>
      </c>
      <c r="T159" s="198"/>
      <c r="U159" s="241"/>
      <c r="AA159" s="218"/>
      <c r="AO159" s="218"/>
    </row>
    <row r="160" spans="2:41" s="201" customFormat="1" ht="15.95" hidden="1" customHeight="1" thickBot="1" x14ac:dyDescent="0.2">
      <c r="B160" s="495" t="s">
        <v>790</v>
      </c>
      <c r="C160" s="502" t="s">
        <v>1309</v>
      </c>
      <c r="D160" s="456" t="s">
        <v>791</v>
      </c>
      <c r="E160" s="177"/>
      <c r="F160" s="177"/>
      <c r="G160" s="235"/>
      <c r="N160" s="238"/>
      <c r="O160" s="236" t="s">
        <v>1338</v>
      </c>
      <c r="P160" s="238"/>
      <c r="Q160" s="238"/>
      <c r="R160" s="506">
        <f>R158/R159</f>
        <v>0.10190076995045007</v>
      </c>
      <c r="S160" s="258" t="str">
        <f>IF(R160&lt;1,"O.K","N.G")</f>
        <v>O.K</v>
      </c>
      <c r="AA160" s="218"/>
      <c r="AO160" s="218"/>
    </row>
    <row r="161" spans="2:41" s="201" customFormat="1" ht="15.95" hidden="1" customHeight="1" x14ac:dyDescent="0.15">
      <c r="B161" s="233"/>
      <c r="C161" s="502" t="s">
        <v>1309</v>
      </c>
      <c r="D161" s="383">
        <f>((D142/D145)*(I142))/(0.85*D152)</f>
        <v>0.88235294117647056</v>
      </c>
      <c r="E161" s="177" t="s">
        <v>1310</v>
      </c>
      <c r="G161" s="235"/>
      <c r="AA161" s="218"/>
      <c r="AO161" s="218"/>
    </row>
    <row r="162" spans="2:41" s="201" customFormat="1" ht="15.95" hidden="1" customHeight="1" x14ac:dyDescent="0.15">
      <c r="B162" s="495" t="s">
        <v>792</v>
      </c>
      <c r="C162" s="502" t="s">
        <v>1309</v>
      </c>
      <c r="D162" s="495" t="s">
        <v>793</v>
      </c>
      <c r="E162" s="495" t="s">
        <v>794</v>
      </c>
      <c r="F162" s="263"/>
      <c r="N162" s="461" t="s">
        <v>1234</v>
      </c>
      <c r="AA162" s="218"/>
      <c r="AO162" s="218"/>
    </row>
    <row r="163" spans="2:41" s="201" customFormat="1" ht="15.95" hidden="1" customHeight="1" x14ac:dyDescent="0.15">
      <c r="B163" s="237"/>
      <c r="C163" s="502" t="s">
        <v>1309</v>
      </c>
      <c r="D163" s="383">
        <f>D159+D161</f>
        <v>0.88235294117647056</v>
      </c>
      <c r="E163" s="177" t="s">
        <v>1339</v>
      </c>
      <c r="F163" s="263"/>
      <c r="G163" s="384"/>
      <c r="N163" s="456" t="s">
        <v>1235</v>
      </c>
      <c r="AA163" s="218"/>
      <c r="AO163" s="218"/>
    </row>
    <row r="164" spans="2:41" s="201" customFormat="1" ht="15.95" hidden="1" customHeight="1" x14ac:dyDescent="0.15">
      <c r="L164" s="237"/>
      <c r="N164" s="456" t="s">
        <v>1236</v>
      </c>
      <c r="AA164" s="218"/>
      <c r="AO164" s="218"/>
    </row>
    <row r="165" spans="2:41" s="201" customFormat="1" ht="15.95" hidden="1" customHeight="1" x14ac:dyDescent="0.15">
      <c r="B165" s="239" t="s">
        <v>1340</v>
      </c>
      <c r="L165" s="237"/>
      <c r="N165" s="456" t="s">
        <v>1237</v>
      </c>
      <c r="AA165" s="218"/>
      <c r="AO165" s="218"/>
    </row>
    <row r="166" spans="2:41" s="201" customFormat="1" ht="15.95" hidden="1" customHeight="1" x14ac:dyDescent="0.15">
      <c r="L166" s="237"/>
      <c r="N166" s="455" t="s">
        <v>1238</v>
      </c>
      <c r="O166" s="455" t="s">
        <v>1216</v>
      </c>
      <c r="AA166" s="218"/>
      <c r="AO166" s="218"/>
    </row>
    <row r="167" spans="2:41" s="201" customFormat="1" ht="15.95" hidden="1" customHeight="1" x14ac:dyDescent="0.15">
      <c r="B167" s="495" t="s">
        <v>795</v>
      </c>
      <c r="C167" s="502" t="s">
        <v>1309</v>
      </c>
      <c r="D167" s="455" t="s">
        <v>1222</v>
      </c>
      <c r="L167" s="240"/>
      <c r="M167" s="241"/>
      <c r="N167" s="455" t="s">
        <v>1239</v>
      </c>
      <c r="AA167" s="218"/>
      <c r="AO167" s="218"/>
    </row>
    <row r="168" spans="2:41" s="201" customFormat="1" ht="15.95" hidden="1" customHeight="1" x14ac:dyDescent="0.15">
      <c r="B168" s="242"/>
      <c r="C168" s="502" t="s">
        <v>1309</v>
      </c>
      <c r="D168" s="383">
        <f>D142/D145</f>
        <v>0.375</v>
      </c>
      <c r="E168" s="177" t="s">
        <v>1339</v>
      </c>
      <c r="L168" s="240"/>
      <c r="M168" s="410"/>
      <c r="AA168" s="218"/>
      <c r="AO168" s="218"/>
    </row>
    <row r="169" spans="2:41" s="201" customFormat="1" ht="15.95" hidden="1" customHeight="1" x14ac:dyDescent="0.15">
      <c r="L169" s="240"/>
      <c r="M169" s="241"/>
      <c r="AA169" s="166"/>
      <c r="AO169" s="166"/>
    </row>
    <row r="170" spans="2:41" s="201" customFormat="1" ht="15.95" hidden="1" customHeight="1" x14ac:dyDescent="0.15">
      <c r="B170" s="239" t="s">
        <v>1341</v>
      </c>
      <c r="L170" s="240"/>
      <c r="M170" s="241"/>
      <c r="AA170" s="166"/>
      <c r="AO170" s="166"/>
    </row>
    <row r="171" spans="2:41" s="201" customFormat="1" ht="15.95" hidden="1" customHeight="1" x14ac:dyDescent="0.15">
      <c r="AA171" s="166"/>
      <c r="AO171" s="166"/>
    </row>
    <row r="172" spans="2:41" s="201" customFormat="1" ht="15.95" hidden="1" customHeight="1" x14ac:dyDescent="0.15">
      <c r="B172" s="495" t="s">
        <v>1342</v>
      </c>
      <c r="C172" s="502" t="s">
        <v>1309</v>
      </c>
      <c r="D172" s="495" t="s">
        <v>796</v>
      </c>
      <c r="G172" s="248"/>
      <c r="AA172" s="166"/>
      <c r="AO172" s="166"/>
    </row>
    <row r="173" spans="2:41" s="201" customFormat="1" ht="15.95" hidden="1" customHeight="1" x14ac:dyDescent="0.15">
      <c r="B173" s="507"/>
      <c r="C173" s="502" t="s">
        <v>1309</v>
      </c>
      <c r="D173" s="385">
        <f>D168/D163</f>
        <v>0.42499999999999999</v>
      </c>
      <c r="G173" s="242"/>
      <c r="H173" s="248"/>
      <c r="AA173" s="166"/>
      <c r="AO173" s="166"/>
    </row>
    <row r="174" spans="2:41" s="201" customFormat="1" ht="15.95" hidden="1" customHeight="1" x14ac:dyDescent="0.15">
      <c r="B174" s="507"/>
      <c r="C174" s="508"/>
      <c r="D174" s="237"/>
      <c r="G174" s="242"/>
      <c r="I174" s="248"/>
    </row>
    <row r="175" spans="2:41" s="201" customFormat="1" ht="15.95" hidden="1" customHeight="1" x14ac:dyDescent="0.15">
      <c r="B175" s="495" t="s">
        <v>797</v>
      </c>
      <c r="C175" s="502" t="s">
        <v>1309</v>
      </c>
      <c r="D175" s="385">
        <f>ATAN(D173)*180/PI()</f>
        <v>23.025492008528033</v>
      </c>
      <c r="G175" s="242"/>
      <c r="H175" s="248"/>
    </row>
    <row r="176" spans="2:41" s="201" customFormat="1" ht="15.95" hidden="1" customHeight="1" x14ac:dyDescent="0.15">
      <c r="B176" s="507"/>
      <c r="C176" s="508"/>
      <c r="I176" s="248"/>
    </row>
    <row r="177" spans="1:33" s="201" customFormat="1" ht="15.95" hidden="1" customHeight="1" x14ac:dyDescent="0.15">
      <c r="B177" s="495" t="s">
        <v>788</v>
      </c>
      <c r="C177" s="502" t="s">
        <v>1309</v>
      </c>
      <c r="D177" s="386" t="s">
        <v>798</v>
      </c>
      <c r="L177" s="237"/>
    </row>
    <row r="178" spans="1:33" s="201" customFormat="1" ht="15.95" hidden="1" customHeight="1" x14ac:dyDescent="0.15">
      <c r="B178" s="235"/>
      <c r="C178" s="502" t="s">
        <v>1309</v>
      </c>
      <c r="D178" s="387">
        <f>R158</f>
        <v>0.95873443288679694</v>
      </c>
      <c r="E178" s="177" t="s">
        <v>1310</v>
      </c>
    </row>
    <row r="179" spans="1:33" s="201" customFormat="1" ht="15.95" hidden="1" customHeight="1" x14ac:dyDescent="0.15"/>
    <row r="180" spans="1:33" s="201" customFormat="1" ht="15.95" hidden="1" customHeight="1" x14ac:dyDescent="0.15">
      <c r="B180" s="235"/>
      <c r="C180" s="237"/>
      <c r="D180" s="387"/>
      <c r="E180" s="177"/>
    </row>
    <row r="181" spans="1:33" s="201" customFormat="1" ht="15.95" hidden="1" customHeight="1" x14ac:dyDescent="0.15">
      <c r="B181" s="235"/>
      <c r="C181" s="237"/>
      <c r="D181" s="387"/>
      <c r="E181" s="177"/>
    </row>
    <row r="182" spans="1:33" s="201" customFormat="1" ht="15.95" hidden="1" customHeight="1" thickBot="1" x14ac:dyDescent="0.2">
      <c r="B182" s="235"/>
      <c r="C182" s="237"/>
      <c r="D182" s="387"/>
      <c r="E182" s="177"/>
    </row>
    <row r="183" spans="1:33" s="201" customFormat="1" ht="15.95" hidden="1" customHeight="1" thickBot="1" x14ac:dyDescent="0.2">
      <c r="A183" s="218"/>
      <c r="B183" s="177" t="s">
        <v>1343</v>
      </c>
      <c r="Z183" s="847" t="s">
        <v>1344</v>
      </c>
      <c r="AA183" s="848"/>
    </row>
    <row r="184" spans="1:33" s="201" customFormat="1" ht="15.95" hidden="1" customHeight="1" thickBot="1" x14ac:dyDescent="0.2">
      <c r="A184" s="218"/>
      <c r="C184" s="248"/>
      <c r="D184" s="248"/>
      <c r="E184" s="235"/>
      <c r="F184" s="388"/>
      <c r="N184" s="836" t="s">
        <v>1344</v>
      </c>
      <c r="O184" s="837"/>
      <c r="P184" s="238"/>
      <c r="Q184" s="849"/>
      <c r="R184" s="850"/>
      <c r="S184" s="498">
        <v>8</v>
      </c>
      <c r="T184" s="498">
        <v>10</v>
      </c>
      <c r="U184" s="498">
        <v>12</v>
      </c>
      <c r="V184" s="498">
        <v>16</v>
      </c>
      <c r="W184" s="499">
        <v>20</v>
      </c>
      <c r="Z184" s="731" t="s">
        <v>1345</v>
      </c>
      <c r="AA184" s="730"/>
      <c r="AB184" s="245"/>
      <c r="AC184" s="726">
        <v>8</v>
      </c>
      <c r="AD184" s="726">
        <v>10</v>
      </c>
      <c r="AE184" s="726">
        <v>12</v>
      </c>
      <c r="AF184" s="726">
        <v>16</v>
      </c>
      <c r="AG184" s="727">
        <v>20</v>
      </c>
    </row>
    <row r="185" spans="1:33" s="201" customFormat="1" ht="15.95" hidden="1" customHeight="1" x14ac:dyDescent="0.15">
      <c r="A185" s="218"/>
      <c r="B185" s="248" t="s">
        <v>1346</v>
      </c>
      <c r="C185" s="248"/>
      <c r="D185" s="248"/>
      <c r="N185" s="389" t="s">
        <v>799</v>
      </c>
      <c r="O185" s="244" t="s">
        <v>1347</v>
      </c>
      <c r="P185" s="238"/>
      <c r="Q185" s="509">
        <f>HLOOKUP(D144,S184:W189,2)</f>
        <v>70</v>
      </c>
      <c r="R185" s="245" t="s">
        <v>1025</v>
      </c>
      <c r="S185" s="498">
        <f>IF(OR(N140=1),R154,R155)</f>
        <v>45</v>
      </c>
      <c r="T185" s="498">
        <f>IF(OR(N140=1),S154,S155)</f>
        <v>50</v>
      </c>
      <c r="U185" s="498">
        <f>IF(OR(N140=1),T154,T155)</f>
        <v>70</v>
      </c>
      <c r="V185" s="498">
        <f>IF(OR(N140=1),U154,U155)</f>
        <v>80</v>
      </c>
      <c r="W185" s="499">
        <f>IF(OR(N140=1),V154,V155)</f>
        <v>100</v>
      </c>
      <c r="Z185" s="254" t="s">
        <v>1348</v>
      </c>
      <c r="AA185" s="238"/>
      <c r="AB185" s="245"/>
      <c r="AC185" s="728">
        <v>50</v>
      </c>
      <c r="AD185" s="728">
        <v>50</v>
      </c>
      <c r="AE185" s="728">
        <v>70</v>
      </c>
      <c r="AF185" s="728">
        <v>80</v>
      </c>
      <c r="AG185" s="729">
        <v>100</v>
      </c>
    </row>
    <row r="186" spans="1:33" s="201" customFormat="1" ht="15.95" hidden="1" customHeight="1" x14ac:dyDescent="0.15">
      <c r="B186" s="248"/>
      <c r="N186" s="390" t="s">
        <v>800</v>
      </c>
      <c r="O186" s="238" t="s">
        <v>1349</v>
      </c>
      <c r="P186" s="238"/>
      <c r="Q186" s="509">
        <f>HLOOKUP(D144,S184:W189,3)</f>
        <v>70</v>
      </c>
      <c r="R186" s="245" t="s">
        <v>1025</v>
      </c>
      <c r="S186" s="498">
        <f>IF(OR(N140=1),AC185,AC186)</f>
        <v>50</v>
      </c>
      <c r="T186" s="498">
        <f>IF(OR(N140=1),AD185,AD186)</f>
        <v>50</v>
      </c>
      <c r="U186" s="498">
        <f>IF(OR(N140=1),AE185,AE186)</f>
        <v>70</v>
      </c>
      <c r="V186" s="498">
        <f>IF(OR(N140=1),AF185,AF186)</f>
        <v>80</v>
      </c>
      <c r="W186" s="499">
        <f>IF(OR(N140=1),AG185,AG186)</f>
        <v>100</v>
      </c>
      <c r="Z186" s="254" t="s">
        <v>1350</v>
      </c>
      <c r="AA186" s="238"/>
      <c r="AB186" s="245"/>
      <c r="AC186" s="728">
        <v>42</v>
      </c>
      <c r="AD186" s="728">
        <v>50</v>
      </c>
      <c r="AE186" s="728">
        <v>80</v>
      </c>
      <c r="AF186" s="728">
        <v>100</v>
      </c>
      <c r="AG186" s="729">
        <v>100</v>
      </c>
    </row>
    <row r="187" spans="1:33" s="201" customFormat="1" ht="15.95" hidden="1" customHeight="1" x14ac:dyDescent="0.15">
      <c r="A187" s="218"/>
      <c r="B187" s="495" t="s">
        <v>801</v>
      </c>
      <c r="C187" s="248"/>
      <c r="D187" s="248"/>
      <c r="F187" s="241"/>
      <c r="N187" s="390" t="s">
        <v>802</v>
      </c>
      <c r="O187" s="238" t="s">
        <v>1351</v>
      </c>
      <c r="P187" s="238"/>
      <c r="Q187" s="509">
        <f>HLOOKUP(D144,S184:W189,4)</f>
        <v>70</v>
      </c>
      <c r="R187" s="245" t="s">
        <v>1025</v>
      </c>
      <c r="S187" s="498">
        <f>IF(OR(N140=1),AC187,AC188)</f>
        <v>50</v>
      </c>
      <c r="T187" s="498">
        <f>IF(OR(N140=1),AD187,AD188)</f>
        <v>50</v>
      </c>
      <c r="U187" s="498">
        <f>IF(OR(N140=1),AE187,AE188)</f>
        <v>70</v>
      </c>
      <c r="V187" s="498">
        <f>IF(OR(N140=1),AF187,AF188)</f>
        <v>80</v>
      </c>
      <c r="W187" s="499">
        <f>IF(OR(N140=1),AG187,AG188)</f>
        <v>100</v>
      </c>
      <c r="Z187" s="181" t="s">
        <v>1352</v>
      </c>
      <c r="AA187" s="238"/>
      <c r="AB187" s="245"/>
      <c r="AC187" s="728">
        <v>50</v>
      </c>
      <c r="AD187" s="728">
        <v>50</v>
      </c>
      <c r="AE187" s="728">
        <v>70</v>
      </c>
      <c r="AF187" s="728">
        <v>80</v>
      </c>
      <c r="AG187" s="729">
        <v>100</v>
      </c>
    </row>
    <row r="188" spans="1:33" s="201" customFormat="1" ht="15.95" hidden="1" customHeight="1" x14ac:dyDescent="0.15">
      <c r="A188" s="218"/>
      <c r="N188" s="390" t="s">
        <v>803</v>
      </c>
      <c r="O188" s="238" t="s">
        <v>1353</v>
      </c>
      <c r="P188" s="238"/>
      <c r="Q188" s="509">
        <f>HLOOKUP(D144,S184:W189,5)</f>
        <v>210</v>
      </c>
      <c r="R188" s="245" t="s">
        <v>1025</v>
      </c>
      <c r="S188" s="498">
        <f>3*S185</f>
        <v>135</v>
      </c>
      <c r="T188" s="498">
        <f>3*T185</f>
        <v>150</v>
      </c>
      <c r="U188" s="498">
        <f>3*U185</f>
        <v>210</v>
      </c>
      <c r="V188" s="498">
        <f>3*V185</f>
        <v>240</v>
      </c>
      <c r="W188" s="499">
        <f>3*W185</f>
        <v>300</v>
      </c>
      <c r="Z188" s="181" t="s">
        <v>1354</v>
      </c>
      <c r="AA188" s="238"/>
      <c r="AB188" s="245"/>
      <c r="AC188" s="728">
        <v>35</v>
      </c>
      <c r="AD188" s="728">
        <v>42</v>
      </c>
      <c r="AE188" s="728">
        <v>50</v>
      </c>
      <c r="AF188" s="728">
        <v>65</v>
      </c>
      <c r="AG188" s="729">
        <v>80</v>
      </c>
    </row>
    <row r="189" spans="1:33" s="201" customFormat="1" ht="15.95" hidden="1" customHeight="1" x14ac:dyDescent="0.15">
      <c r="A189" s="218"/>
      <c r="B189" s="510" t="s">
        <v>804</v>
      </c>
      <c r="C189" s="250" t="s">
        <v>1355</v>
      </c>
      <c r="D189" s="238" t="s">
        <v>1356</v>
      </c>
      <c r="E189" s="238"/>
      <c r="F189" s="238"/>
      <c r="G189" s="245"/>
      <c r="N189" s="390" t="s">
        <v>805</v>
      </c>
      <c r="O189" s="238" t="s">
        <v>1357</v>
      </c>
      <c r="P189" s="238"/>
      <c r="Q189" s="509">
        <f>HLOOKUP(D144,S184:W189,6)</f>
        <v>105</v>
      </c>
      <c r="R189" s="245" t="s">
        <v>1025</v>
      </c>
      <c r="S189" s="498">
        <f>S185*1.5</f>
        <v>67.5</v>
      </c>
      <c r="T189" s="498">
        <f>T185*1.5</f>
        <v>75</v>
      </c>
      <c r="U189" s="498">
        <f>U185*1.5</f>
        <v>105</v>
      </c>
      <c r="V189" s="498">
        <f>V185*1.5</f>
        <v>120</v>
      </c>
      <c r="W189" s="499">
        <f>W185*1.5</f>
        <v>150</v>
      </c>
    </row>
    <row r="190" spans="1:33" s="201" customFormat="1" ht="15.95" hidden="1" customHeight="1" thickBot="1" x14ac:dyDescent="0.2">
      <c r="A190" s="218"/>
    </row>
    <row r="191" spans="1:33" s="201" customFormat="1" ht="15.95" hidden="1" customHeight="1" thickBot="1" x14ac:dyDescent="0.2">
      <c r="A191" s="218"/>
      <c r="B191" s="386" t="s">
        <v>806</v>
      </c>
      <c r="C191" s="237" t="s">
        <v>1309</v>
      </c>
      <c r="D191" s="385">
        <f>Q193</f>
        <v>17</v>
      </c>
      <c r="E191" s="177" t="str">
        <f>R199</f>
        <v>kN</v>
      </c>
      <c r="G191" s="241" t="s">
        <v>1358</v>
      </c>
      <c r="Z191" s="732" t="s">
        <v>1359</v>
      </c>
    </row>
    <row r="192" spans="1:33" s="201" customFormat="1" ht="15.95" hidden="1" customHeight="1" thickBot="1" x14ac:dyDescent="0.2">
      <c r="A192" s="218"/>
      <c r="B192" s="386" t="s">
        <v>807</v>
      </c>
      <c r="C192" s="237" t="s">
        <v>1309</v>
      </c>
      <c r="D192" s="385">
        <f>U205</f>
        <v>1.0690449676496976</v>
      </c>
      <c r="G192" s="241" t="s">
        <v>1360</v>
      </c>
      <c r="N192" s="836" t="s">
        <v>1361</v>
      </c>
      <c r="O192" s="837"/>
      <c r="P192" s="238"/>
      <c r="Q192" s="849"/>
      <c r="R192" s="850"/>
      <c r="S192" s="498">
        <v>8</v>
      </c>
      <c r="T192" s="498">
        <v>10</v>
      </c>
      <c r="U192" s="498">
        <v>12</v>
      </c>
      <c r="V192" s="498">
        <v>16</v>
      </c>
      <c r="W192" s="499">
        <v>20</v>
      </c>
      <c r="Z192" s="733" t="s">
        <v>1362</v>
      </c>
      <c r="AA192" s="238"/>
      <c r="AB192" s="245"/>
      <c r="AC192" s="726">
        <v>8</v>
      </c>
      <c r="AD192" s="726">
        <v>10</v>
      </c>
      <c r="AE192" s="726">
        <v>12</v>
      </c>
      <c r="AF192" s="726">
        <v>16</v>
      </c>
      <c r="AG192" s="727">
        <v>20</v>
      </c>
    </row>
    <row r="193" spans="1:38" s="201" customFormat="1" ht="15.95" hidden="1" customHeight="1" x14ac:dyDescent="0.15">
      <c r="A193" s="218"/>
      <c r="B193" s="386" t="s">
        <v>808</v>
      </c>
      <c r="C193" s="237" t="s">
        <v>1309</v>
      </c>
      <c r="D193" s="391">
        <f>U206</f>
        <v>0.86</v>
      </c>
      <c r="F193" s="241"/>
      <c r="G193" s="241" t="s">
        <v>1363</v>
      </c>
      <c r="N193" s="392" t="s">
        <v>809</v>
      </c>
      <c r="O193" s="232" t="s">
        <v>1364</v>
      </c>
      <c r="P193" s="238"/>
      <c r="Q193" s="511">
        <f>HLOOKUP(D144,S192:W195,2)</f>
        <v>17</v>
      </c>
      <c r="R193" s="245" t="s">
        <v>1310</v>
      </c>
      <c r="S193" s="500">
        <f>INDEX(AC193:AG194,N140,1)</f>
        <v>7.1</v>
      </c>
      <c r="T193" s="500">
        <f>INDEX(AC193:AG194,N140,2)</f>
        <v>10.8</v>
      </c>
      <c r="U193" s="500">
        <f>INDEX(AC193:AG194,N140,3)</f>
        <v>17</v>
      </c>
      <c r="V193" s="500">
        <f>INDEX(AC193:AG194,N140,4)</f>
        <v>25.8</v>
      </c>
      <c r="W193" s="501">
        <f>INDEX(AC193:AG194,N140,5)</f>
        <v>35.1</v>
      </c>
      <c r="Z193" s="254" t="s">
        <v>1365</v>
      </c>
      <c r="AA193" s="238"/>
      <c r="AB193" s="245"/>
      <c r="AC193" s="728">
        <v>7.1</v>
      </c>
      <c r="AD193" s="728">
        <v>10.8</v>
      </c>
      <c r="AE193" s="728">
        <v>17</v>
      </c>
      <c r="AF193" s="728">
        <v>25.8</v>
      </c>
      <c r="AG193" s="729">
        <v>35.1</v>
      </c>
    </row>
    <row r="194" spans="1:38" s="201" customFormat="1" ht="15.95" hidden="1" customHeight="1" x14ac:dyDescent="0.15">
      <c r="A194" s="218"/>
      <c r="B194" s="533" t="s">
        <v>810</v>
      </c>
      <c r="C194" s="237" t="s">
        <v>1309</v>
      </c>
      <c r="D194" s="391">
        <f>U207</f>
        <v>0.99</v>
      </c>
      <c r="G194" s="241" t="s">
        <v>1366</v>
      </c>
      <c r="K194" s="252"/>
      <c r="N194" s="390" t="s">
        <v>811</v>
      </c>
      <c r="O194" s="232" t="s">
        <v>1367</v>
      </c>
      <c r="P194" s="238"/>
      <c r="Q194" s="511">
        <f>HLOOKUP(D144,S192:W195,3)</f>
        <v>15.473143052768192</v>
      </c>
      <c r="R194" s="245" t="s">
        <v>1310</v>
      </c>
      <c r="S194" s="500">
        <f>IF(D145=1,U205*U207*S193,U205*U207*S193*U206)</f>
        <v>6.4623126867443625</v>
      </c>
      <c r="T194" s="500">
        <f>IF(D145=1,U205*U207*T193,U205*U207*T193*U206)</f>
        <v>9.8299967629350871</v>
      </c>
      <c r="U194" s="500">
        <f>IF(D145=1,U205*U207*U193,U205*U207*U193*U206)</f>
        <v>15.473143052768192</v>
      </c>
      <c r="V194" s="500">
        <f>IF(D145=1,U205*U207*V193,U205*U207*V193*U206)</f>
        <v>23.482770044789373</v>
      </c>
      <c r="W194" s="501">
        <f>IF(D145=1,U205*U207*W193,U205*U207*W193*U206)</f>
        <v>31.947489479539033</v>
      </c>
      <c r="Z194" s="254" t="s">
        <v>1368</v>
      </c>
      <c r="AA194" s="238"/>
      <c r="AB194" s="245"/>
      <c r="AC194" s="728">
        <v>5.3</v>
      </c>
      <c r="AD194" s="728">
        <v>8.1</v>
      </c>
      <c r="AE194" s="728">
        <v>12.1</v>
      </c>
      <c r="AF194" s="728">
        <v>17.2</v>
      </c>
      <c r="AG194" s="729">
        <v>23.1</v>
      </c>
    </row>
    <row r="195" spans="1:38" s="201" customFormat="1" ht="15.95" hidden="1" customHeight="1" thickBot="1" x14ac:dyDescent="0.2">
      <c r="A195" s="218"/>
      <c r="B195" s="508"/>
      <c r="N195" s="390" t="s">
        <v>812</v>
      </c>
      <c r="O195" s="232" t="s">
        <v>1369</v>
      </c>
      <c r="P195" s="238"/>
      <c r="Q195" s="512">
        <f>HLOOKUP(D144,S192:W195,4)</f>
        <v>18.7</v>
      </c>
      <c r="R195" s="256" t="s">
        <v>1310</v>
      </c>
      <c r="S195" s="500">
        <v>6</v>
      </c>
      <c r="T195" s="500">
        <v>12.9</v>
      </c>
      <c r="U195" s="500">
        <v>18.7</v>
      </c>
      <c r="V195" s="500">
        <v>34.799999999999997</v>
      </c>
      <c r="W195" s="501">
        <v>54.4</v>
      </c>
    </row>
    <row r="196" spans="1:38" s="201" customFormat="1" ht="15.95" hidden="1" customHeight="1" thickBot="1" x14ac:dyDescent="0.2">
      <c r="A196" s="218"/>
      <c r="B196" s="495" t="s">
        <v>813</v>
      </c>
      <c r="C196" s="237" t="s">
        <v>1309</v>
      </c>
      <c r="D196" s="386" t="s">
        <v>814</v>
      </c>
      <c r="E196" s="255"/>
      <c r="J196" s="255"/>
      <c r="N196" s="390" t="s">
        <v>815</v>
      </c>
      <c r="O196" s="232" t="s">
        <v>1370</v>
      </c>
      <c r="P196" s="238"/>
      <c r="Q196" s="257">
        <f>MIN(Q194,Q195)/1.4</f>
        <v>11.052245037691566</v>
      </c>
      <c r="R196" s="258" t="s">
        <v>1310</v>
      </c>
    </row>
    <row r="197" spans="1:38" s="201" customFormat="1" ht="15.95" hidden="1" customHeight="1" thickBot="1" x14ac:dyDescent="0.2">
      <c r="A197" s="233"/>
      <c r="B197" s="235"/>
      <c r="C197" s="237" t="s">
        <v>1309</v>
      </c>
      <c r="D197" s="393">
        <f>Q194</f>
        <v>15.473143052768192</v>
      </c>
      <c r="E197" s="177" t="s">
        <v>1310</v>
      </c>
      <c r="N197" s="241"/>
      <c r="O197" s="241"/>
      <c r="Z197" s="394" t="s">
        <v>1371</v>
      </c>
      <c r="AA197" s="394">
        <f>HLOOKUP(D144,AA199:AE213,COUNTIF(Z200:Z213,"&lt;= "&amp;D148)+1)</f>
        <v>0.86</v>
      </c>
      <c r="AG197" s="394" t="s">
        <v>1371</v>
      </c>
      <c r="AH197" s="394">
        <f>HLOOKUP(D144,AH199:AL211,COUNTIF(AG200:AG211,"&lt;= "&amp;D148)+1)</f>
        <v>1</v>
      </c>
    </row>
    <row r="198" spans="1:38" s="201" customFormat="1" ht="15.95" hidden="1" customHeight="1" thickBot="1" x14ac:dyDescent="0.2">
      <c r="A198" s="218"/>
      <c r="B198" s="508"/>
      <c r="C198" s="237"/>
      <c r="N198" s="851" t="s">
        <v>1372</v>
      </c>
      <c r="O198" s="852"/>
      <c r="P198" s="238"/>
      <c r="Q198" s="531"/>
      <c r="R198" s="532"/>
      <c r="S198" s="498">
        <v>8</v>
      </c>
      <c r="T198" s="498">
        <v>10</v>
      </c>
      <c r="U198" s="498">
        <v>12</v>
      </c>
      <c r="V198" s="498">
        <v>16</v>
      </c>
      <c r="W198" s="499">
        <v>20</v>
      </c>
      <c r="Z198" s="734" t="s">
        <v>1373</v>
      </c>
      <c r="AA198" s="238"/>
      <c r="AB198" s="238"/>
      <c r="AC198" s="238"/>
      <c r="AD198" s="238"/>
      <c r="AE198" s="245"/>
      <c r="AG198" s="734" t="s">
        <v>1374</v>
      </c>
      <c r="AH198" s="238"/>
      <c r="AI198" s="238"/>
      <c r="AJ198" s="238"/>
      <c r="AK198" s="238"/>
      <c r="AL198" s="245"/>
    </row>
    <row r="199" spans="1:38" s="201" customFormat="1" ht="15.95" hidden="1" customHeight="1" x14ac:dyDescent="0.15">
      <c r="A199" s="218"/>
      <c r="B199" s="513" t="s">
        <v>816</v>
      </c>
      <c r="C199" s="250" t="s">
        <v>1355</v>
      </c>
      <c r="D199" s="238" t="s">
        <v>1375</v>
      </c>
      <c r="E199" s="238"/>
      <c r="F199" s="238"/>
      <c r="G199" s="245"/>
      <c r="N199" s="392" t="s">
        <v>817</v>
      </c>
      <c r="O199" s="504" t="s">
        <v>1376</v>
      </c>
      <c r="P199" s="238"/>
      <c r="Q199" s="249">
        <f>HLOOKUP(D144,S198:W201,2)</f>
        <v>14.9</v>
      </c>
      <c r="R199" s="395" t="s">
        <v>1310</v>
      </c>
      <c r="S199" s="514">
        <v>6.4</v>
      </c>
      <c r="T199" s="514">
        <v>11.2</v>
      </c>
      <c r="U199" s="514">
        <v>14.9</v>
      </c>
      <c r="V199" s="514">
        <v>26.1</v>
      </c>
      <c r="W199" s="501">
        <v>42.5</v>
      </c>
      <c r="Z199" s="396" t="s">
        <v>1377</v>
      </c>
      <c r="AA199" s="397">
        <v>8</v>
      </c>
      <c r="AB199" s="397">
        <v>10</v>
      </c>
      <c r="AC199" s="397">
        <v>12</v>
      </c>
      <c r="AD199" s="397">
        <v>16</v>
      </c>
      <c r="AE199" s="397">
        <v>20</v>
      </c>
      <c r="AG199" s="396" t="s">
        <v>1377</v>
      </c>
      <c r="AH199" s="397">
        <v>8</v>
      </c>
      <c r="AI199" s="397">
        <v>10</v>
      </c>
      <c r="AJ199" s="397">
        <v>12</v>
      </c>
      <c r="AK199" s="397">
        <v>16</v>
      </c>
      <c r="AL199" s="397">
        <v>20</v>
      </c>
    </row>
    <row r="200" spans="1:38" s="201" customFormat="1" ht="15.95" hidden="1" customHeight="1" x14ac:dyDescent="0.15">
      <c r="A200" s="218"/>
      <c r="N200" s="390" t="s">
        <v>818</v>
      </c>
      <c r="O200" s="232" t="s">
        <v>1378</v>
      </c>
      <c r="P200" s="238"/>
      <c r="Q200" s="249">
        <f>HLOOKUP(D144,S198:W201,3)</f>
        <v>11.332453355356076</v>
      </c>
      <c r="R200" s="395" t="s">
        <v>1310</v>
      </c>
      <c r="S200" s="514">
        <f>S199*D238*D239*D241</f>
        <v>4.8676309714281141</v>
      </c>
      <c r="T200" s="514">
        <f>T199*D238*D239*D241</f>
        <v>8.5183541999991981</v>
      </c>
      <c r="U200" s="514">
        <f>U199*D238*D239*D241</f>
        <v>11.332453355356076</v>
      </c>
      <c r="V200" s="514">
        <f>V199*D238*D239*D241</f>
        <v>19.850807555355278</v>
      </c>
      <c r="W200" s="501">
        <f>W199*D238*D239*D241</f>
        <v>32.324111919639819</v>
      </c>
      <c r="Z200" s="398">
        <v>50</v>
      </c>
      <c r="AA200" s="399">
        <v>0.67</v>
      </c>
      <c r="AB200" s="399">
        <v>0.67</v>
      </c>
      <c r="AC200" s="399"/>
      <c r="AD200" s="399"/>
      <c r="AE200" s="399"/>
      <c r="AG200" s="398">
        <v>42</v>
      </c>
      <c r="AH200" s="399">
        <v>0.7</v>
      </c>
      <c r="AI200" s="399"/>
      <c r="AJ200" s="399"/>
      <c r="AK200" s="399"/>
      <c r="AL200" s="399"/>
    </row>
    <row r="201" spans="1:38" s="201" customFormat="1" ht="15.95" hidden="1" customHeight="1" thickBot="1" x14ac:dyDescent="0.2">
      <c r="A201" s="218"/>
      <c r="B201" s="495" t="s">
        <v>819</v>
      </c>
      <c r="C201" s="237" t="s">
        <v>1309</v>
      </c>
      <c r="D201" s="400">
        <f>Q195</f>
        <v>18.7</v>
      </c>
      <c r="E201" s="177" t="s">
        <v>1310</v>
      </c>
      <c r="N201" s="390" t="s">
        <v>820</v>
      </c>
      <c r="O201" s="232" t="s">
        <v>1379</v>
      </c>
      <c r="P201" s="238"/>
      <c r="Q201" s="515">
        <f>HLOOKUP(D144,S198:W201,4)</f>
        <v>14.9</v>
      </c>
      <c r="R201" s="401" t="s">
        <v>1310</v>
      </c>
      <c r="S201" s="514">
        <v>6.4</v>
      </c>
      <c r="T201" s="514">
        <v>11.2</v>
      </c>
      <c r="U201" s="514">
        <v>14.9</v>
      </c>
      <c r="V201" s="514">
        <v>26.1</v>
      </c>
      <c r="W201" s="501">
        <v>42.5</v>
      </c>
      <c r="Z201" s="398">
        <v>70</v>
      </c>
      <c r="AA201" s="399">
        <v>0.74</v>
      </c>
      <c r="AB201" s="399">
        <v>0.73</v>
      </c>
      <c r="AC201" s="399">
        <v>0.67</v>
      </c>
      <c r="AD201" s="399"/>
      <c r="AE201" s="399"/>
      <c r="AG201" s="398">
        <v>50</v>
      </c>
      <c r="AH201" s="399">
        <v>0.74</v>
      </c>
      <c r="AI201" s="399">
        <v>0.7</v>
      </c>
      <c r="AJ201" s="399"/>
      <c r="AK201" s="399"/>
      <c r="AL201" s="399"/>
    </row>
    <row r="202" spans="1:38" s="201" customFormat="1" ht="15.95" hidden="1" customHeight="1" thickBot="1" x14ac:dyDescent="0.2">
      <c r="A202" s="218"/>
      <c r="B202" s="218"/>
      <c r="N202" s="390" t="s">
        <v>821</v>
      </c>
      <c r="O202" s="232" t="s">
        <v>1380</v>
      </c>
      <c r="P202" s="238"/>
      <c r="Q202" s="259">
        <f>MIN(Q200,Q201)/1.4</f>
        <v>8.0946095395400555</v>
      </c>
      <c r="R202" s="260" t="s">
        <v>1310</v>
      </c>
      <c r="Z202" s="398">
        <v>80</v>
      </c>
      <c r="AA202" s="399">
        <v>0.78</v>
      </c>
      <c r="AB202" s="399">
        <v>0.77</v>
      </c>
      <c r="AC202" s="399">
        <v>0.69</v>
      </c>
      <c r="AD202" s="399">
        <v>0.67</v>
      </c>
      <c r="AE202" s="399"/>
      <c r="AG202" s="398">
        <v>60</v>
      </c>
      <c r="AH202" s="399">
        <v>0.79</v>
      </c>
      <c r="AI202" s="399">
        <v>0.74</v>
      </c>
      <c r="AJ202" s="399"/>
      <c r="AK202" s="399"/>
      <c r="AL202" s="399"/>
    </row>
    <row r="203" spans="1:38" s="201" customFormat="1" ht="15.95" hidden="1" customHeight="1" thickBot="1" x14ac:dyDescent="0.2">
      <c r="A203" s="218"/>
      <c r="B203" s="261" t="s">
        <v>1381</v>
      </c>
      <c r="Z203" s="398">
        <v>100</v>
      </c>
      <c r="AA203" s="399">
        <v>0.85</v>
      </c>
      <c r="AB203" s="399">
        <v>0.83</v>
      </c>
      <c r="AC203" s="399">
        <v>0.74</v>
      </c>
      <c r="AD203" s="399">
        <v>0.71</v>
      </c>
      <c r="AE203" s="399">
        <v>0.67</v>
      </c>
      <c r="AG203" s="398">
        <v>70</v>
      </c>
      <c r="AH203" s="399">
        <v>0.83</v>
      </c>
      <c r="AI203" s="399">
        <v>0.78</v>
      </c>
      <c r="AJ203" s="399"/>
      <c r="AK203" s="399"/>
      <c r="AL203" s="399"/>
    </row>
    <row r="204" spans="1:38" s="201" customFormat="1" ht="15.95" hidden="1" customHeight="1" thickBot="1" x14ac:dyDescent="0.2">
      <c r="A204" s="218"/>
      <c r="N204" s="851" t="s">
        <v>1382</v>
      </c>
      <c r="O204" s="852"/>
      <c r="P204" s="253"/>
      <c r="Q204" s="244"/>
      <c r="Z204" s="398">
        <v>110</v>
      </c>
      <c r="AA204" s="399">
        <v>0.88</v>
      </c>
      <c r="AB204" s="399">
        <v>0.87</v>
      </c>
      <c r="AC204" s="399">
        <v>0.76</v>
      </c>
      <c r="AD204" s="399">
        <v>0.73</v>
      </c>
      <c r="AE204" s="399">
        <v>0.68</v>
      </c>
      <c r="AG204" s="398">
        <v>80</v>
      </c>
      <c r="AH204" s="399">
        <v>0.88</v>
      </c>
      <c r="AI204" s="399">
        <v>0.82</v>
      </c>
      <c r="AJ204" s="399">
        <v>0.77</v>
      </c>
      <c r="AK204" s="399"/>
      <c r="AL204" s="399"/>
    </row>
    <row r="205" spans="1:38" s="201" customFormat="1" ht="15.95" hidden="1" customHeight="1" x14ac:dyDescent="0.15">
      <c r="A205" s="218"/>
      <c r="B205" s="495" t="s">
        <v>822</v>
      </c>
      <c r="C205" s="237" t="s">
        <v>1309</v>
      </c>
      <c r="D205" s="859" t="s">
        <v>1383</v>
      </c>
      <c r="E205" s="860"/>
      <c r="F205" s="861"/>
      <c r="N205" s="503" t="s">
        <v>823</v>
      </c>
      <c r="O205" s="244" t="s">
        <v>1384</v>
      </c>
      <c r="P205" s="238"/>
      <c r="Q205" s="238"/>
      <c r="R205" s="238"/>
      <c r="S205" s="238"/>
      <c r="T205" s="402" t="s">
        <v>1309</v>
      </c>
      <c r="U205" s="516">
        <f>SQRT(D150/21)</f>
        <v>1.0690449676496976</v>
      </c>
      <c r="W205" s="403"/>
      <c r="Z205" s="398">
        <v>130</v>
      </c>
      <c r="AA205" s="399">
        <v>0.95</v>
      </c>
      <c r="AB205" s="399">
        <v>0.93</v>
      </c>
      <c r="AC205" s="399">
        <v>0.81</v>
      </c>
      <c r="AD205" s="399">
        <v>0.77</v>
      </c>
      <c r="AE205" s="399">
        <v>0.72</v>
      </c>
      <c r="AG205" s="398">
        <v>100</v>
      </c>
      <c r="AH205" s="399">
        <v>0.98</v>
      </c>
      <c r="AI205" s="399">
        <v>0.9</v>
      </c>
      <c r="AJ205" s="399">
        <v>0.83</v>
      </c>
      <c r="AK205" s="399">
        <v>0.78</v>
      </c>
      <c r="AL205" s="399">
        <v>0.71</v>
      </c>
    </row>
    <row r="206" spans="1:38" s="201" customFormat="1" ht="15.95" hidden="1" customHeight="1" x14ac:dyDescent="0.15">
      <c r="A206" s="218"/>
      <c r="B206" s="235"/>
      <c r="C206" s="237" t="s">
        <v>1309</v>
      </c>
      <c r="D206" s="404">
        <f>Q196</f>
        <v>11.052245037691566</v>
      </c>
      <c r="E206" s="177" t="s">
        <v>1310</v>
      </c>
      <c r="N206" s="386" t="s">
        <v>808</v>
      </c>
      <c r="O206" s="238" t="s">
        <v>1385</v>
      </c>
      <c r="P206" s="238"/>
      <c r="Q206" s="238"/>
      <c r="R206" s="238"/>
      <c r="S206" s="238"/>
      <c r="T206" s="402" t="s">
        <v>1309</v>
      </c>
      <c r="U206" s="517">
        <f>IF(D145=1, "None", IF(N140=1,AA197,AH197))</f>
        <v>0.86</v>
      </c>
      <c r="W206" s="403"/>
      <c r="Z206" s="398">
        <v>144</v>
      </c>
      <c r="AA206" s="405">
        <v>1</v>
      </c>
      <c r="AB206" s="399">
        <v>0.98</v>
      </c>
      <c r="AC206" s="399">
        <v>0.84</v>
      </c>
      <c r="AD206" s="399">
        <v>0.8</v>
      </c>
      <c r="AE206" s="399">
        <v>0.74</v>
      </c>
      <c r="AF206" s="218"/>
      <c r="AG206" s="398">
        <v>105</v>
      </c>
      <c r="AH206" s="405">
        <v>1</v>
      </c>
      <c r="AI206" s="399">
        <v>0.92</v>
      </c>
      <c r="AJ206" s="399">
        <v>0.85</v>
      </c>
      <c r="AK206" s="399">
        <v>0.79</v>
      </c>
      <c r="AL206" s="399">
        <v>0.72</v>
      </c>
    </row>
    <row r="207" spans="1:38" s="201" customFormat="1" ht="15.95" hidden="1" customHeight="1" x14ac:dyDescent="0.15">
      <c r="A207" s="218"/>
      <c r="N207" s="518" t="s">
        <v>810</v>
      </c>
      <c r="O207" s="238" t="s">
        <v>1386</v>
      </c>
      <c r="P207" s="238"/>
      <c r="Q207" s="238"/>
      <c r="R207" s="238"/>
      <c r="S207" s="238"/>
      <c r="T207" s="402" t="s">
        <v>1309</v>
      </c>
      <c r="U207" s="238">
        <f>IF(N140=1,AA215,AH215)</f>
        <v>0.99</v>
      </c>
      <c r="V207" s="237"/>
      <c r="W207" s="403"/>
      <c r="Z207" s="398">
        <v>150</v>
      </c>
      <c r="AA207" s="399">
        <v>1</v>
      </c>
      <c r="AB207" s="405">
        <v>1</v>
      </c>
      <c r="AC207" s="399">
        <v>0.86</v>
      </c>
      <c r="AD207" s="399">
        <v>0.81</v>
      </c>
      <c r="AE207" s="399">
        <v>0.75</v>
      </c>
      <c r="AF207" s="218"/>
      <c r="AG207" s="398">
        <v>126</v>
      </c>
      <c r="AH207" s="399">
        <v>1</v>
      </c>
      <c r="AI207" s="405">
        <v>1</v>
      </c>
      <c r="AJ207" s="399">
        <v>0.92</v>
      </c>
      <c r="AK207" s="399">
        <v>0.85</v>
      </c>
      <c r="AL207" s="399">
        <v>0.76</v>
      </c>
    </row>
    <row r="208" spans="1:38" s="201" customFormat="1" ht="15.95" hidden="1" customHeight="1" x14ac:dyDescent="0.15">
      <c r="N208" s="518" t="s">
        <v>824</v>
      </c>
      <c r="O208" s="238" t="s">
        <v>1387</v>
      </c>
      <c r="P208" s="238"/>
      <c r="Q208" s="238"/>
      <c r="R208" s="238"/>
      <c r="S208" s="238"/>
      <c r="T208" s="402" t="s">
        <v>1309</v>
      </c>
      <c r="U208" s="238">
        <f>IF(D145=1,(D149/Q187)^1.5,((D149+D148)/(6*Q187))*(SQRT(D149/Q187)))</f>
        <v>0.71144560079428187</v>
      </c>
      <c r="X208" s="403"/>
      <c r="Z208" s="398">
        <v>170</v>
      </c>
      <c r="AA208" s="399">
        <v>1</v>
      </c>
      <c r="AB208" s="399">
        <v>1</v>
      </c>
      <c r="AC208" s="399">
        <v>0.9</v>
      </c>
      <c r="AD208" s="399">
        <v>0.85</v>
      </c>
      <c r="AE208" s="399">
        <v>0.78</v>
      </c>
      <c r="AF208" s="218"/>
      <c r="AG208" s="398">
        <v>150</v>
      </c>
      <c r="AH208" s="399">
        <v>1</v>
      </c>
      <c r="AI208" s="399">
        <v>1</v>
      </c>
      <c r="AJ208" s="405">
        <v>1</v>
      </c>
      <c r="AK208" s="399">
        <v>0.92</v>
      </c>
      <c r="AL208" s="399">
        <v>0.81</v>
      </c>
    </row>
    <row r="209" spans="13:48" s="201" customFormat="1" ht="15.95" hidden="1" customHeight="1" x14ac:dyDescent="0.15">
      <c r="N209" s="519" t="s">
        <v>825</v>
      </c>
      <c r="O209" s="238" t="s">
        <v>1388</v>
      </c>
      <c r="P209" s="238"/>
      <c r="Q209" s="238"/>
      <c r="R209" s="238"/>
      <c r="S209" s="238"/>
      <c r="T209" s="402" t="s">
        <v>1309</v>
      </c>
      <c r="U209" s="238">
        <f>VLOOKUP(R144,S145:U149,3)</f>
        <v>1</v>
      </c>
      <c r="X209" s="403"/>
      <c r="Y209" s="403"/>
      <c r="Z209" s="398">
        <v>190</v>
      </c>
      <c r="AA209" s="399">
        <v>1</v>
      </c>
      <c r="AB209" s="399">
        <v>1</v>
      </c>
      <c r="AC209" s="399">
        <v>0.95</v>
      </c>
      <c r="AD209" s="399">
        <v>0.9</v>
      </c>
      <c r="AE209" s="399">
        <v>0.82</v>
      </c>
      <c r="AF209" s="218"/>
      <c r="AG209" s="398">
        <v>180</v>
      </c>
      <c r="AH209" s="399">
        <v>1</v>
      </c>
      <c r="AI209" s="399">
        <v>1</v>
      </c>
      <c r="AJ209" s="399">
        <v>1</v>
      </c>
      <c r="AK209" s="405">
        <v>1</v>
      </c>
      <c r="AL209" s="399">
        <v>0.88</v>
      </c>
    </row>
    <row r="210" spans="13:48" s="201" customFormat="1" ht="15.95" hidden="1" customHeight="1" x14ac:dyDescent="0.15">
      <c r="M210" s="237"/>
      <c r="X210" s="403"/>
      <c r="Y210" s="403"/>
      <c r="Z210" s="398">
        <v>210</v>
      </c>
      <c r="AA210" s="399">
        <v>1</v>
      </c>
      <c r="AB210" s="399">
        <v>1</v>
      </c>
      <c r="AC210" s="405">
        <v>1</v>
      </c>
      <c r="AD210" s="399">
        <v>0.94</v>
      </c>
      <c r="AE210" s="399">
        <v>0.85</v>
      </c>
      <c r="AF210" s="218"/>
      <c r="AG210" s="398">
        <v>200</v>
      </c>
      <c r="AH210" s="399">
        <v>1</v>
      </c>
      <c r="AI210" s="399">
        <v>1</v>
      </c>
      <c r="AJ210" s="399">
        <v>1</v>
      </c>
      <c r="AK210" s="399">
        <v>1</v>
      </c>
      <c r="AL210" s="399">
        <v>0.92</v>
      </c>
    </row>
    <row r="211" spans="13:48" s="201" customFormat="1" ht="15.95" hidden="1" customHeight="1" x14ac:dyDescent="0.15">
      <c r="X211" s="403"/>
      <c r="Y211" s="403"/>
      <c r="Z211" s="398">
        <v>240</v>
      </c>
      <c r="AA211" s="399">
        <v>1</v>
      </c>
      <c r="AB211" s="399">
        <v>1</v>
      </c>
      <c r="AC211" s="399">
        <v>1</v>
      </c>
      <c r="AD211" s="405">
        <v>1</v>
      </c>
      <c r="AE211" s="399">
        <v>0.9</v>
      </c>
      <c r="AF211" s="218"/>
      <c r="AG211" s="398">
        <v>240</v>
      </c>
      <c r="AH211" s="399">
        <v>1</v>
      </c>
      <c r="AI211" s="399">
        <v>1</v>
      </c>
      <c r="AJ211" s="399">
        <v>1</v>
      </c>
      <c r="AK211" s="399">
        <v>1</v>
      </c>
      <c r="AL211" s="405">
        <v>1</v>
      </c>
    </row>
    <row r="212" spans="13:48" s="201" customFormat="1" ht="15.95" hidden="1" customHeight="1" x14ac:dyDescent="0.15">
      <c r="X212" s="403"/>
      <c r="Y212" s="403"/>
      <c r="Z212" s="398">
        <v>270</v>
      </c>
      <c r="AA212" s="399">
        <v>1</v>
      </c>
      <c r="AB212" s="399">
        <v>1</v>
      </c>
      <c r="AC212" s="399">
        <v>1</v>
      </c>
      <c r="AD212" s="399">
        <v>1</v>
      </c>
      <c r="AE212" s="399">
        <v>0.95</v>
      </c>
      <c r="AF212" s="218"/>
    </row>
    <row r="213" spans="13:48" s="201" customFormat="1" ht="15.95" hidden="1" customHeight="1" x14ac:dyDescent="0.15">
      <c r="V213" s="237"/>
      <c r="W213" s="237"/>
      <c r="X213" s="403"/>
      <c r="Y213" s="403"/>
      <c r="Z213" s="398">
        <v>330</v>
      </c>
      <c r="AA213" s="399">
        <v>1</v>
      </c>
      <c r="AB213" s="399">
        <v>1</v>
      </c>
      <c r="AC213" s="399">
        <v>1</v>
      </c>
      <c r="AD213" s="399">
        <v>1</v>
      </c>
      <c r="AE213" s="405">
        <v>1</v>
      </c>
      <c r="AF213" s="218"/>
      <c r="AG213" s="218"/>
      <c r="AH213" s="218"/>
      <c r="AI213" s="218"/>
      <c r="AJ213" s="218"/>
      <c r="AK213" s="218"/>
      <c r="AL213" s="218"/>
    </row>
    <row r="214" spans="13:48" s="201" customFormat="1" ht="15.95" hidden="1" customHeight="1" thickBot="1" x14ac:dyDescent="0.2">
      <c r="Z214" s="218"/>
      <c r="AA214" s="218"/>
      <c r="AB214" s="218"/>
      <c r="AC214" s="218"/>
      <c r="AD214" s="218"/>
      <c r="AE214" s="218"/>
      <c r="AF214" s="218"/>
      <c r="AG214" s="218"/>
      <c r="AH214" s="218"/>
      <c r="AI214" s="218"/>
      <c r="AJ214" s="218"/>
      <c r="AK214" s="218"/>
      <c r="AL214" s="218"/>
    </row>
    <row r="215" spans="13:48" s="201" customFormat="1" ht="15.95" hidden="1" customHeight="1" x14ac:dyDescent="0.15">
      <c r="Z215" s="394" t="s">
        <v>1389</v>
      </c>
      <c r="AA215" s="394">
        <f>HLOOKUP(D144,AA217:AE230,COUNTIF(Z218:Z230, "&lt;= "&amp;D149)+1)</f>
        <v>0.99</v>
      </c>
      <c r="AF215" s="218"/>
      <c r="AG215" s="394" t="s">
        <v>1389</v>
      </c>
      <c r="AH215" s="394">
        <f>HLOOKUP(D144,AH217:AL227,COUNTIF(AG218:AG227, "&lt;= "&amp;D149)+1)</f>
        <v>1</v>
      </c>
    </row>
    <row r="216" spans="13:48" s="201" customFormat="1" ht="15.95" hidden="1" customHeight="1" x14ac:dyDescent="0.15">
      <c r="Z216" s="734" t="s">
        <v>1390</v>
      </c>
      <c r="AA216" s="238"/>
      <c r="AB216" s="238"/>
      <c r="AC216" s="238"/>
      <c r="AD216" s="238"/>
      <c r="AE216" s="245"/>
      <c r="AF216" s="218"/>
      <c r="AG216" s="734" t="s">
        <v>1391</v>
      </c>
      <c r="AH216" s="238"/>
      <c r="AI216" s="238"/>
      <c r="AJ216" s="238"/>
      <c r="AK216" s="238"/>
      <c r="AL216" s="245"/>
      <c r="AM216" s="166"/>
      <c r="AN216" s="166"/>
      <c r="AO216" s="166"/>
      <c r="AP216" s="166"/>
      <c r="AQ216" s="166"/>
      <c r="AR216" s="166"/>
      <c r="AS216" s="166"/>
      <c r="AT216" s="166"/>
      <c r="AU216" s="166"/>
      <c r="AV216" s="166"/>
    </row>
    <row r="217" spans="13:48" s="201" customFormat="1" ht="15.95" hidden="1" customHeight="1" x14ac:dyDescent="0.15">
      <c r="N217" s="862"/>
      <c r="O217" s="862"/>
      <c r="P217" s="862"/>
      <c r="Q217" s="862"/>
      <c r="R217" s="862"/>
      <c r="Z217" s="396" t="s">
        <v>1392</v>
      </c>
      <c r="AA217" s="397">
        <v>8</v>
      </c>
      <c r="AB217" s="397">
        <v>10</v>
      </c>
      <c r="AC217" s="397">
        <v>12</v>
      </c>
      <c r="AD217" s="397">
        <v>16</v>
      </c>
      <c r="AE217" s="397">
        <v>20</v>
      </c>
      <c r="AF217" s="218"/>
      <c r="AG217" s="396" t="s">
        <v>1392</v>
      </c>
      <c r="AH217" s="397">
        <v>8</v>
      </c>
      <c r="AI217" s="397">
        <v>10</v>
      </c>
      <c r="AJ217" s="397">
        <v>12</v>
      </c>
      <c r="AK217" s="397">
        <v>16</v>
      </c>
      <c r="AL217" s="397">
        <v>20</v>
      </c>
    </row>
    <row r="218" spans="13:48" s="201" customFormat="1" ht="15.95" hidden="1" customHeight="1" x14ac:dyDescent="0.15">
      <c r="W218" s="237"/>
      <c r="Z218" s="398">
        <v>50</v>
      </c>
      <c r="AA218" s="399">
        <v>0.91</v>
      </c>
      <c r="AB218" s="399">
        <v>0.9</v>
      </c>
      <c r="AC218" s="399"/>
      <c r="AD218" s="399"/>
      <c r="AE218" s="399"/>
      <c r="AF218" s="218"/>
      <c r="AG218" s="398">
        <v>35</v>
      </c>
      <c r="AH218" s="399">
        <v>0.9</v>
      </c>
      <c r="AI218" s="399"/>
      <c r="AJ218" s="399"/>
      <c r="AK218" s="399"/>
      <c r="AL218" s="399"/>
    </row>
    <row r="219" spans="13:48" s="201" customFormat="1" ht="15.95" hidden="1" customHeight="1" x14ac:dyDescent="0.15">
      <c r="W219" s="237"/>
      <c r="Z219" s="398">
        <v>60</v>
      </c>
      <c r="AA219" s="399">
        <v>0.95</v>
      </c>
      <c r="AB219" s="399">
        <v>0.94</v>
      </c>
      <c r="AC219" s="399"/>
      <c r="AD219" s="399"/>
      <c r="AE219" s="399"/>
      <c r="AF219" s="218"/>
      <c r="AG219" s="398">
        <v>42</v>
      </c>
      <c r="AH219" s="399">
        <v>0.94</v>
      </c>
      <c r="AI219" s="399">
        <v>0.9</v>
      </c>
      <c r="AJ219" s="399"/>
      <c r="AK219" s="399"/>
      <c r="AL219" s="399"/>
    </row>
    <row r="220" spans="13:48" s="201" customFormat="1" ht="15.95" hidden="1" customHeight="1" x14ac:dyDescent="0.15">
      <c r="T220" s="237"/>
      <c r="U220" s="237"/>
      <c r="V220" s="237"/>
      <c r="W220" s="237"/>
      <c r="Z220" s="398">
        <v>70</v>
      </c>
      <c r="AA220" s="399">
        <v>0.99</v>
      </c>
      <c r="AB220" s="399">
        <v>0.98</v>
      </c>
      <c r="AC220" s="399">
        <v>0.9</v>
      </c>
      <c r="AD220" s="399"/>
      <c r="AE220" s="399"/>
      <c r="AF220" s="218"/>
      <c r="AG220" s="398">
        <v>50</v>
      </c>
      <c r="AH220" s="399">
        <v>0.99</v>
      </c>
      <c r="AI220" s="399">
        <v>0.94</v>
      </c>
      <c r="AJ220" s="399">
        <v>0.9</v>
      </c>
      <c r="AK220" s="399"/>
      <c r="AL220" s="399"/>
    </row>
    <row r="221" spans="13:48" s="201" customFormat="1" ht="15.95" hidden="1" customHeight="1" x14ac:dyDescent="0.15">
      <c r="T221" s="237"/>
      <c r="U221" s="237"/>
      <c r="V221" s="237"/>
      <c r="W221" s="237"/>
      <c r="Z221" s="398">
        <v>72</v>
      </c>
      <c r="AA221" s="405">
        <v>1</v>
      </c>
      <c r="AB221" s="399">
        <v>0.99</v>
      </c>
      <c r="AC221" s="399">
        <v>0.91</v>
      </c>
      <c r="AD221" s="399"/>
      <c r="AE221" s="399"/>
      <c r="AF221" s="218"/>
      <c r="AG221" s="398">
        <v>55</v>
      </c>
      <c r="AH221" s="405">
        <v>1</v>
      </c>
      <c r="AI221" s="399">
        <v>0.96</v>
      </c>
      <c r="AJ221" s="399">
        <v>0.92</v>
      </c>
      <c r="AK221" s="399"/>
      <c r="AL221" s="399"/>
    </row>
    <row r="222" spans="13:48" s="201" customFormat="1" ht="15.95" hidden="1" customHeight="1" x14ac:dyDescent="0.15">
      <c r="U222" s="237"/>
      <c r="V222" s="237"/>
      <c r="W222" s="237"/>
      <c r="Z222" s="398">
        <v>75</v>
      </c>
      <c r="AA222" s="399">
        <v>1</v>
      </c>
      <c r="AB222" s="405">
        <v>1</v>
      </c>
      <c r="AC222" s="399">
        <v>0.91</v>
      </c>
      <c r="AD222" s="399"/>
      <c r="AE222" s="399"/>
      <c r="AF222" s="218"/>
      <c r="AG222" s="398">
        <v>65</v>
      </c>
      <c r="AH222" s="399">
        <v>1</v>
      </c>
      <c r="AI222" s="405">
        <v>1</v>
      </c>
      <c r="AJ222" s="399">
        <v>0.96</v>
      </c>
      <c r="AK222" s="399">
        <v>0.92</v>
      </c>
      <c r="AL222" s="399"/>
    </row>
    <row r="223" spans="13:48" s="201" customFormat="1" ht="15.95" hidden="1" customHeight="1" x14ac:dyDescent="0.15">
      <c r="W223" s="237"/>
      <c r="Z223" s="398">
        <v>80</v>
      </c>
      <c r="AA223" s="399">
        <v>1</v>
      </c>
      <c r="AB223" s="399">
        <v>1</v>
      </c>
      <c r="AC223" s="399">
        <v>0.93</v>
      </c>
      <c r="AD223" s="399">
        <v>0.9</v>
      </c>
      <c r="AE223" s="399"/>
      <c r="AF223" s="218"/>
      <c r="AG223" s="398">
        <v>75</v>
      </c>
      <c r="AH223" s="399">
        <v>1</v>
      </c>
      <c r="AI223" s="399">
        <v>1</v>
      </c>
      <c r="AJ223" s="405">
        <v>1</v>
      </c>
      <c r="AK223" s="399">
        <v>0.95</v>
      </c>
      <c r="AL223" s="399"/>
    </row>
    <row r="224" spans="13:48" s="201" customFormat="1" ht="15.95" hidden="1" customHeight="1" x14ac:dyDescent="0.15">
      <c r="Z224" s="398">
        <v>90</v>
      </c>
      <c r="AA224" s="399">
        <v>1</v>
      </c>
      <c r="AB224" s="399">
        <v>1</v>
      </c>
      <c r="AC224" s="399">
        <v>0.96</v>
      </c>
      <c r="AD224" s="399">
        <v>0.93</v>
      </c>
      <c r="AE224" s="399"/>
      <c r="AF224" s="218"/>
      <c r="AG224" s="398">
        <v>80</v>
      </c>
      <c r="AH224" s="399">
        <v>1</v>
      </c>
      <c r="AI224" s="399">
        <v>1</v>
      </c>
      <c r="AJ224" s="399">
        <v>1</v>
      </c>
      <c r="AK224" s="399">
        <v>0.97</v>
      </c>
      <c r="AL224" s="399">
        <v>0.9</v>
      </c>
    </row>
    <row r="225" spans="1:38" s="201" customFormat="1" ht="15.95" hidden="1" customHeight="1" x14ac:dyDescent="0.15">
      <c r="Z225" s="398">
        <v>100</v>
      </c>
      <c r="AA225" s="399">
        <v>1</v>
      </c>
      <c r="AB225" s="399">
        <v>1</v>
      </c>
      <c r="AC225" s="399">
        <v>0.99</v>
      </c>
      <c r="AD225" s="399">
        <v>0.95</v>
      </c>
      <c r="AE225" s="399">
        <v>0.9</v>
      </c>
      <c r="AF225" s="218"/>
      <c r="AG225" s="398">
        <v>90</v>
      </c>
      <c r="AH225" s="399">
        <v>1</v>
      </c>
      <c r="AI225" s="399">
        <v>1</v>
      </c>
      <c r="AJ225" s="399">
        <v>1</v>
      </c>
      <c r="AK225" s="405">
        <v>1</v>
      </c>
      <c r="AL225" s="399">
        <v>0.93</v>
      </c>
    </row>
    <row r="226" spans="1:38" s="201" customFormat="1" ht="15.95" hidden="1" customHeight="1" x14ac:dyDescent="0.15">
      <c r="Z226" s="398">
        <v>105</v>
      </c>
      <c r="AA226" s="399">
        <v>1</v>
      </c>
      <c r="AB226" s="399">
        <v>1</v>
      </c>
      <c r="AC226" s="405">
        <v>1</v>
      </c>
      <c r="AD226" s="399">
        <v>0.96</v>
      </c>
      <c r="AE226" s="399">
        <v>0.91</v>
      </c>
      <c r="AF226" s="218"/>
      <c r="AG226" s="398">
        <v>100</v>
      </c>
      <c r="AH226" s="399">
        <v>1</v>
      </c>
      <c r="AI226" s="399">
        <v>1</v>
      </c>
      <c r="AJ226" s="399">
        <v>1</v>
      </c>
      <c r="AK226" s="399">
        <v>1</v>
      </c>
      <c r="AL226" s="399">
        <v>0.95</v>
      </c>
    </row>
    <row r="227" spans="1:38" s="201" customFormat="1" ht="15.95" hidden="1" customHeight="1" x14ac:dyDescent="0.15">
      <c r="C227" s="263"/>
      <c r="D227" s="385"/>
      <c r="E227" s="241"/>
      <c r="L227" s="218"/>
      <c r="Z227" s="398">
        <v>110</v>
      </c>
      <c r="AA227" s="399">
        <v>1</v>
      </c>
      <c r="AB227" s="399">
        <v>1</v>
      </c>
      <c r="AC227" s="399">
        <v>1</v>
      </c>
      <c r="AD227" s="399">
        <v>0.98</v>
      </c>
      <c r="AE227" s="399">
        <v>0.92</v>
      </c>
      <c r="AF227" s="166"/>
      <c r="AG227" s="398">
        <v>120</v>
      </c>
      <c r="AH227" s="399">
        <v>1</v>
      </c>
      <c r="AI227" s="399">
        <v>1</v>
      </c>
      <c r="AJ227" s="399">
        <v>1</v>
      </c>
      <c r="AK227" s="399">
        <v>1</v>
      </c>
      <c r="AL227" s="405">
        <v>1</v>
      </c>
    </row>
    <row r="228" spans="1:38" s="201" customFormat="1" ht="15.95" hidden="1" customHeight="1" x14ac:dyDescent="0.15">
      <c r="Z228" s="398">
        <v>120</v>
      </c>
      <c r="AA228" s="399">
        <v>1</v>
      </c>
      <c r="AB228" s="399">
        <v>1</v>
      </c>
      <c r="AC228" s="399">
        <v>1</v>
      </c>
      <c r="AD228" s="405">
        <v>1</v>
      </c>
      <c r="AE228" s="399">
        <v>0.94</v>
      </c>
      <c r="AF228" s="166"/>
      <c r="AG228" s="166"/>
      <c r="AH228" s="166"/>
      <c r="AI228" s="166"/>
      <c r="AJ228" s="166"/>
      <c r="AK228" s="166"/>
      <c r="AL228" s="166"/>
    </row>
    <row r="229" spans="1:38" s="201" customFormat="1" ht="15.95" hidden="1" customHeight="1" x14ac:dyDescent="0.15">
      <c r="B229" s="177" t="s">
        <v>1393</v>
      </c>
      <c r="C229" s="248"/>
      <c r="D229" s="248"/>
      <c r="J229" s="241"/>
      <c r="Z229" s="398">
        <v>135</v>
      </c>
      <c r="AA229" s="399">
        <v>1</v>
      </c>
      <c r="AB229" s="399">
        <v>1</v>
      </c>
      <c r="AC229" s="399">
        <v>1</v>
      </c>
      <c r="AD229" s="399">
        <v>1</v>
      </c>
      <c r="AE229" s="399">
        <v>0.97</v>
      </c>
      <c r="AF229" s="166"/>
      <c r="AG229" s="166"/>
      <c r="AH229" s="166"/>
      <c r="AI229" s="166"/>
      <c r="AJ229" s="166"/>
      <c r="AK229" s="166"/>
      <c r="AL229" s="166"/>
    </row>
    <row r="230" spans="1:38" s="201" customFormat="1" ht="15.95" hidden="1" customHeight="1" x14ac:dyDescent="0.15">
      <c r="A230" s="218"/>
      <c r="B230" s="241"/>
      <c r="C230" s="248"/>
      <c r="D230" s="248"/>
      <c r="J230" s="241"/>
      <c r="Z230" s="398">
        <v>150</v>
      </c>
      <c r="AA230" s="399">
        <v>1</v>
      </c>
      <c r="AB230" s="399">
        <v>1</v>
      </c>
      <c r="AC230" s="399">
        <v>1</v>
      </c>
      <c r="AD230" s="399">
        <v>1</v>
      </c>
      <c r="AE230" s="405">
        <v>1</v>
      </c>
      <c r="AF230" s="166"/>
      <c r="AG230" s="166"/>
      <c r="AH230" s="166"/>
      <c r="AI230" s="166"/>
      <c r="AJ230" s="166"/>
      <c r="AK230" s="166"/>
      <c r="AL230" s="166"/>
    </row>
    <row r="231" spans="1:38" s="201" customFormat="1" ht="15.95" hidden="1" customHeight="1" x14ac:dyDescent="0.15">
      <c r="A231" s="218"/>
      <c r="B231" s="248" t="s">
        <v>1394</v>
      </c>
      <c r="C231" s="248"/>
      <c r="D231" s="248"/>
    </row>
    <row r="232" spans="1:38" s="201" customFormat="1" ht="15.95" hidden="1" customHeight="1" thickBot="1" x14ac:dyDescent="0.2">
      <c r="A232" s="218"/>
      <c r="B232" s="248"/>
      <c r="C232" s="248"/>
      <c r="D232" s="248"/>
    </row>
    <row r="233" spans="1:38" s="201" customFormat="1" ht="15.95" hidden="1" customHeight="1" thickBot="1" x14ac:dyDescent="0.2">
      <c r="A233" s="218"/>
      <c r="B233" s="495" t="s">
        <v>826</v>
      </c>
      <c r="C233" s="248"/>
      <c r="D233" s="248"/>
      <c r="Z233" s="836" t="s">
        <v>1395</v>
      </c>
      <c r="AA233" s="837"/>
    </row>
    <row r="234" spans="1:38" s="201" customFormat="1" ht="15.95" hidden="1" customHeight="1" x14ac:dyDescent="0.15">
      <c r="A234" s="218"/>
      <c r="B234" s="406"/>
      <c r="C234" s="248"/>
      <c r="D234" s="248"/>
      <c r="Z234" s="243" t="s">
        <v>661</v>
      </c>
      <c r="AA234" s="244"/>
      <c r="AB234" s="238"/>
      <c r="AC234" s="238"/>
      <c r="AD234" s="238"/>
      <c r="AE234" s="245"/>
      <c r="AF234" s="238" t="s">
        <v>1396</v>
      </c>
      <c r="AG234" s="238"/>
      <c r="AH234" s="238"/>
      <c r="AI234" s="238"/>
      <c r="AJ234" s="245"/>
    </row>
    <row r="235" spans="1:38" s="201" customFormat="1" ht="15.95" hidden="1" customHeight="1" x14ac:dyDescent="0.15">
      <c r="A235" s="218"/>
      <c r="B235" s="513" t="s">
        <v>827</v>
      </c>
      <c r="C235" s="250" t="s">
        <v>1355</v>
      </c>
      <c r="D235" s="232" t="s">
        <v>1397</v>
      </c>
      <c r="E235" s="238"/>
      <c r="F235" s="238"/>
      <c r="G235" s="245"/>
      <c r="Z235" s="246" t="s">
        <v>1356</v>
      </c>
      <c r="AA235" s="238"/>
      <c r="AB235" s="238"/>
      <c r="AC235" s="238"/>
      <c r="AD235" s="238"/>
      <c r="AE235" s="245"/>
      <c r="AF235" s="238" t="s">
        <v>1398</v>
      </c>
      <c r="AG235" s="238"/>
      <c r="AH235" s="238"/>
      <c r="AI235" s="238"/>
      <c r="AJ235" s="245"/>
    </row>
    <row r="236" spans="1:38" s="201" customFormat="1" ht="15.95" hidden="1" customHeight="1" x14ac:dyDescent="0.15">
      <c r="A236" s="218"/>
      <c r="B236" s="241"/>
      <c r="C236" s="248"/>
      <c r="D236" s="248"/>
      <c r="Z236" s="247" t="s">
        <v>1399</v>
      </c>
      <c r="AA236" s="238"/>
      <c r="AB236" s="238"/>
      <c r="AC236" s="238"/>
      <c r="AD236" s="238"/>
      <c r="AE236" s="245"/>
      <c r="AF236" s="238" t="s">
        <v>1400</v>
      </c>
      <c r="AG236" s="238"/>
      <c r="AH236" s="238"/>
      <c r="AI236" s="238"/>
      <c r="AJ236" s="245"/>
    </row>
    <row r="237" spans="1:38" s="201" customFormat="1" ht="15.95" hidden="1" customHeight="1" x14ac:dyDescent="0.15">
      <c r="A237" s="218"/>
      <c r="B237" s="495" t="s">
        <v>828</v>
      </c>
      <c r="C237" s="237" t="s">
        <v>341</v>
      </c>
      <c r="D237" s="385">
        <f>Q199</f>
        <v>14.9</v>
      </c>
      <c r="E237" s="177" t="s">
        <v>1310</v>
      </c>
      <c r="G237" s="241" t="s">
        <v>1401</v>
      </c>
      <c r="Z237" s="249" t="s">
        <v>662</v>
      </c>
      <c r="AA237" s="238"/>
      <c r="AB237" s="238"/>
      <c r="AC237" s="238"/>
      <c r="AD237" s="238"/>
      <c r="AE237" s="245"/>
      <c r="AF237" s="238" t="s">
        <v>663</v>
      </c>
      <c r="AG237" s="238"/>
      <c r="AH237" s="238"/>
      <c r="AI237" s="238"/>
      <c r="AJ237" s="245"/>
    </row>
    <row r="238" spans="1:38" s="201" customFormat="1" ht="15.95" hidden="1" customHeight="1" x14ac:dyDescent="0.15">
      <c r="A238" s="218"/>
      <c r="B238" s="495" t="s">
        <v>829</v>
      </c>
      <c r="C238" s="237" t="s">
        <v>1309</v>
      </c>
      <c r="D238" s="385">
        <f>U205</f>
        <v>1.0690449676496976</v>
      </c>
      <c r="G238" s="241" t="s">
        <v>1360</v>
      </c>
      <c r="M238" s="507" t="s">
        <v>830</v>
      </c>
      <c r="N238" s="530" t="s">
        <v>1402</v>
      </c>
      <c r="O238" s="846" t="s">
        <v>1403</v>
      </c>
      <c r="P238" s="846"/>
      <c r="Q238" s="846"/>
      <c r="R238" s="846" t="s">
        <v>1404</v>
      </c>
      <c r="S238" s="846"/>
      <c r="Z238" s="246" t="s">
        <v>1405</v>
      </c>
      <c r="AA238" s="238"/>
      <c r="AB238" s="238"/>
      <c r="AC238" s="238"/>
      <c r="AD238" s="238"/>
      <c r="AE238" s="245"/>
      <c r="AF238" s="238" t="s">
        <v>1406</v>
      </c>
      <c r="AG238" s="238"/>
      <c r="AH238" s="238"/>
      <c r="AI238" s="238"/>
      <c r="AJ238" s="245"/>
    </row>
    <row r="239" spans="1:38" s="201" customFormat="1" ht="15.95" hidden="1" customHeight="1" x14ac:dyDescent="0.15">
      <c r="A239" s="218"/>
      <c r="B239" s="495" t="s">
        <v>824</v>
      </c>
      <c r="C239" s="237" t="s">
        <v>1309</v>
      </c>
      <c r="D239" s="385">
        <f>U209</f>
        <v>1</v>
      </c>
      <c r="F239" s="235"/>
      <c r="G239" s="241" t="s">
        <v>1407</v>
      </c>
      <c r="H239" s="385"/>
      <c r="I239" s="177"/>
      <c r="N239" s="520" t="str">
        <f>IF(D145&gt;1, "O", "X")</f>
        <v>O</v>
      </c>
      <c r="O239" s="858" t="s">
        <v>831</v>
      </c>
      <c r="P239" s="858"/>
      <c r="Q239" s="858"/>
      <c r="R239" s="521" t="s">
        <v>1408</v>
      </c>
      <c r="S239" s="522"/>
      <c r="Z239" s="249" t="s">
        <v>664</v>
      </c>
      <c r="AA239" s="238"/>
      <c r="AB239" s="238"/>
      <c r="AC239" s="238"/>
      <c r="AD239" s="238"/>
      <c r="AE239" s="245"/>
      <c r="AF239" s="238" t="s">
        <v>665</v>
      </c>
      <c r="AG239" s="238"/>
      <c r="AH239" s="238"/>
      <c r="AI239" s="238"/>
      <c r="AJ239" s="245"/>
    </row>
    <row r="240" spans="1:38" s="201" customFormat="1" ht="15.95" hidden="1" customHeight="1" x14ac:dyDescent="0.15">
      <c r="A240" s="218"/>
      <c r="B240" s="495" t="s">
        <v>830</v>
      </c>
      <c r="C240" s="237" t="s">
        <v>341</v>
      </c>
      <c r="D240" s="858" t="s">
        <v>831</v>
      </c>
      <c r="E240" s="858"/>
      <c r="F240" s="858"/>
      <c r="G240" s="241" t="s">
        <v>1409</v>
      </c>
      <c r="N240" s="520" t="str">
        <f>IF(D145=1, "O", "X")</f>
        <v>X</v>
      </c>
      <c r="O240" s="859" t="s">
        <v>1240</v>
      </c>
      <c r="P240" s="860"/>
      <c r="Q240" s="861"/>
      <c r="R240" s="523" t="s">
        <v>1410</v>
      </c>
      <c r="S240" s="524"/>
      <c r="Z240" s="247" t="s">
        <v>1411</v>
      </c>
      <c r="AA240" s="238"/>
      <c r="AB240" s="238"/>
      <c r="AC240" s="238"/>
      <c r="AD240" s="238"/>
      <c r="AE240" s="245"/>
      <c r="AF240" s="238" t="s">
        <v>1412</v>
      </c>
      <c r="AG240" s="238"/>
      <c r="AH240" s="238"/>
      <c r="AI240" s="238"/>
      <c r="AJ240" s="245"/>
    </row>
    <row r="241" spans="1:65" s="201" customFormat="1" ht="15.95" hidden="1" customHeight="1" x14ac:dyDescent="0.15">
      <c r="A241" s="218"/>
      <c r="B241" s="508"/>
      <c r="C241" s="237" t="s">
        <v>341</v>
      </c>
      <c r="D241" s="407">
        <f>U208</f>
        <v>0.71144560079428187</v>
      </c>
      <c r="Z241" s="247" t="s">
        <v>1413</v>
      </c>
      <c r="AA241" s="238"/>
      <c r="AB241" s="238"/>
      <c r="AC241" s="238"/>
      <c r="AD241" s="238"/>
      <c r="AE241" s="245"/>
      <c r="AF241" s="238" t="s">
        <v>1414</v>
      </c>
      <c r="AG241" s="238"/>
      <c r="AH241" s="238"/>
      <c r="AI241" s="238"/>
      <c r="AJ241" s="245"/>
    </row>
    <row r="242" spans="1:65" s="201" customFormat="1" ht="15.95" hidden="1" customHeight="1" x14ac:dyDescent="0.15">
      <c r="A242" s="218"/>
      <c r="B242" s="495" t="s">
        <v>832</v>
      </c>
      <c r="C242" s="237" t="s">
        <v>341</v>
      </c>
      <c r="D242" s="495" t="s">
        <v>833</v>
      </c>
      <c r="E242" s="218"/>
      <c r="Z242" s="247" t="s">
        <v>1415</v>
      </c>
      <c r="AA242" s="232"/>
      <c r="AB242" s="238"/>
      <c r="AC242" s="238"/>
      <c r="AD242" s="238"/>
      <c r="AE242" s="245"/>
      <c r="AF242" s="238" t="s">
        <v>666</v>
      </c>
      <c r="AG242" s="238"/>
      <c r="AH242" s="238"/>
      <c r="AI242" s="238"/>
      <c r="AJ242" s="245"/>
    </row>
    <row r="243" spans="1:65" s="201" customFormat="1" ht="15.95" hidden="1" customHeight="1" x14ac:dyDescent="0.15">
      <c r="A243" s="218"/>
      <c r="C243" s="237" t="s">
        <v>341</v>
      </c>
      <c r="D243" s="400">
        <f>Q200</f>
        <v>11.332453355356076</v>
      </c>
      <c r="E243" s="177" t="s">
        <v>1310</v>
      </c>
      <c r="Z243" s="247" t="s">
        <v>1416</v>
      </c>
      <c r="AA243" s="232"/>
      <c r="AB243" s="238"/>
      <c r="AC243" s="238"/>
      <c r="AD243" s="238"/>
      <c r="AE243" s="245"/>
      <c r="AF243" s="238" t="s">
        <v>667</v>
      </c>
      <c r="AG243" s="238"/>
      <c r="AH243" s="238"/>
      <c r="AI243" s="238"/>
      <c r="AJ243" s="245"/>
    </row>
    <row r="244" spans="1:65" s="201" customFormat="1" ht="15.95" hidden="1" customHeight="1" x14ac:dyDescent="0.15">
      <c r="A244" s="218"/>
      <c r="L244" s="237"/>
      <c r="Z244" s="247" t="s">
        <v>1417</v>
      </c>
      <c r="AA244" s="238"/>
      <c r="AB244" s="238"/>
      <c r="AC244" s="238"/>
      <c r="AD244" s="238"/>
      <c r="AE244" s="245"/>
      <c r="AF244" s="238" t="s">
        <v>1313</v>
      </c>
      <c r="AG244" s="238"/>
      <c r="AH244" s="238"/>
      <c r="AI244" s="238"/>
      <c r="AJ244" s="245"/>
    </row>
    <row r="245" spans="1:65" s="201" customFormat="1" ht="15.95" hidden="1" customHeight="1" x14ac:dyDescent="0.15">
      <c r="A245" s="218"/>
      <c r="B245" s="513" t="s">
        <v>834</v>
      </c>
      <c r="C245" s="250" t="s">
        <v>1355</v>
      </c>
      <c r="D245" s="232" t="s">
        <v>1405</v>
      </c>
      <c r="E245" s="238"/>
      <c r="F245" s="238"/>
      <c r="G245" s="262"/>
      <c r="L245" s="237"/>
      <c r="Z245" s="247" t="s">
        <v>1418</v>
      </c>
      <c r="AA245" s="238"/>
      <c r="AB245" s="238"/>
      <c r="AC245" s="238"/>
      <c r="AD245" s="238"/>
      <c r="AE245" s="245"/>
      <c r="AF245" s="238" t="s">
        <v>1419</v>
      </c>
      <c r="AG245" s="238"/>
      <c r="AH245" s="238"/>
      <c r="AI245" s="238"/>
      <c r="AJ245" s="245"/>
    </row>
    <row r="246" spans="1:65" s="218" customFormat="1" ht="15.95" hidden="1" customHeight="1" x14ac:dyDescent="0.15">
      <c r="A246" s="201"/>
      <c r="B246" s="201"/>
      <c r="C246" s="201"/>
      <c r="D246" s="201"/>
      <c r="E246" s="201"/>
      <c r="F246" s="201"/>
      <c r="G246" s="201"/>
      <c r="H246" s="201"/>
      <c r="I246" s="201"/>
      <c r="J246" s="201"/>
      <c r="K246" s="201"/>
      <c r="M246" s="235"/>
      <c r="N246" s="201"/>
      <c r="O246" s="201"/>
      <c r="P246" s="201"/>
      <c r="U246" s="201"/>
      <c r="W246" s="201"/>
      <c r="X246" s="201"/>
      <c r="Y246" s="201"/>
      <c r="Z246" s="247" t="s">
        <v>1420</v>
      </c>
      <c r="AA246" s="735"/>
      <c r="AB246" s="238"/>
      <c r="AC246" s="238"/>
      <c r="AD246" s="238"/>
      <c r="AE246" s="245"/>
      <c r="AF246" s="238" t="s">
        <v>1421</v>
      </c>
      <c r="AG246" s="238"/>
      <c r="AH246" s="238"/>
      <c r="AI246" s="238"/>
      <c r="AJ246" s="245"/>
      <c r="AK246" s="201"/>
      <c r="AL246" s="201"/>
      <c r="AM246" s="201"/>
      <c r="AN246" s="201"/>
      <c r="AO246" s="201"/>
    </row>
    <row r="247" spans="1:65" s="218" customFormat="1" ht="15.95" hidden="1" customHeight="1" x14ac:dyDescent="0.15">
      <c r="A247" s="201"/>
      <c r="B247" s="495" t="s">
        <v>834</v>
      </c>
      <c r="C247" s="263" t="s">
        <v>1309</v>
      </c>
      <c r="D247" s="400">
        <f>Q201</f>
        <v>14.9</v>
      </c>
      <c r="E247" s="241" t="s">
        <v>1310</v>
      </c>
      <c r="F247" s="201"/>
      <c r="G247" s="201"/>
      <c r="H247" s="201"/>
      <c r="I247" s="201"/>
      <c r="J247" s="201"/>
      <c r="K247" s="201"/>
      <c r="M247" s="235"/>
      <c r="N247" s="201"/>
      <c r="O247" s="201"/>
      <c r="P247" s="201"/>
      <c r="U247" s="201"/>
      <c r="Z247" s="249" t="s">
        <v>668</v>
      </c>
      <c r="AA247" s="250"/>
      <c r="AB247" s="232"/>
      <c r="AC247" s="238"/>
      <c r="AD247" s="238"/>
      <c r="AE247" s="245"/>
      <c r="AF247" s="238" t="s">
        <v>1422</v>
      </c>
      <c r="AG247" s="238"/>
      <c r="AH247" s="238"/>
      <c r="AI247" s="238"/>
      <c r="AJ247" s="245"/>
    </row>
    <row r="248" spans="1:65" s="218" customFormat="1" ht="15.95" hidden="1" customHeight="1" x14ac:dyDescent="0.15">
      <c r="AG248" s="201"/>
      <c r="BL248" s="201"/>
      <c r="BM248" s="201"/>
    </row>
    <row r="249" spans="1:65" s="218" customFormat="1" ht="15.95" hidden="1" customHeight="1" x14ac:dyDescent="0.15">
      <c r="A249" s="201"/>
      <c r="B249" s="261" t="s">
        <v>1423</v>
      </c>
      <c r="C249" s="201"/>
      <c r="D249" s="201"/>
      <c r="E249" s="201"/>
      <c r="F249" s="201"/>
      <c r="G249" s="201"/>
      <c r="I249" s="201"/>
      <c r="AG249" s="201"/>
      <c r="BL249" s="201"/>
      <c r="BM249" s="201"/>
    </row>
    <row r="250" spans="1:65" s="218" customFormat="1" ht="15.95" hidden="1" customHeight="1" x14ac:dyDescent="0.15">
      <c r="A250" s="201"/>
      <c r="I250" s="201"/>
      <c r="AG250" s="201"/>
      <c r="BL250" s="201"/>
      <c r="BM250" s="201"/>
    </row>
    <row r="251" spans="1:65" s="218" customFormat="1" ht="15.95" hidden="1" customHeight="1" x14ac:dyDescent="0.15">
      <c r="A251" s="201"/>
      <c r="B251" s="495" t="s">
        <v>835</v>
      </c>
      <c r="C251" s="263" t="s">
        <v>1309</v>
      </c>
      <c r="D251" s="859" t="s">
        <v>1424</v>
      </c>
      <c r="E251" s="860"/>
      <c r="F251" s="861"/>
      <c r="I251" s="201"/>
      <c r="AG251" s="201"/>
      <c r="BL251" s="201"/>
      <c r="BM251" s="201"/>
    </row>
    <row r="252" spans="1:65" s="218" customFormat="1" ht="15.95" hidden="1" customHeight="1" x14ac:dyDescent="0.15">
      <c r="B252" s="235"/>
      <c r="C252" s="263" t="s">
        <v>1309</v>
      </c>
      <c r="D252" s="400">
        <f>Q202</f>
        <v>8.0946095395400555</v>
      </c>
      <c r="E252" s="177" t="s">
        <v>1310</v>
      </c>
      <c r="AG252" s="201"/>
      <c r="BL252" s="201"/>
      <c r="BM252" s="201"/>
    </row>
    <row r="253" spans="1:65" s="218" customFormat="1" ht="15.95" hidden="1" customHeight="1" x14ac:dyDescent="0.15">
      <c r="AG253" s="201"/>
      <c r="BL253" s="201"/>
      <c r="BM253" s="201"/>
    </row>
    <row r="254" spans="1:65" s="218" customFormat="1" ht="15.95" hidden="1" customHeight="1" x14ac:dyDescent="0.15">
      <c r="H254" s="241"/>
      <c r="J254" s="264"/>
      <c r="U254" s="201"/>
      <c r="AG254" s="201"/>
      <c r="BL254" s="201"/>
      <c r="BM254" s="201"/>
    </row>
    <row r="255" spans="1:65" s="218" customFormat="1" ht="15.95" hidden="1" customHeight="1" x14ac:dyDescent="0.15">
      <c r="B255" s="177" t="s">
        <v>1425</v>
      </c>
      <c r="E255" s="177"/>
      <c r="U255" s="201"/>
      <c r="AG255" s="201"/>
      <c r="BL255" s="201"/>
      <c r="BM255" s="201"/>
    </row>
    <row r="256" spans="1:65" s="218" customFormat="1" ht="15.95" hidden="1" customHeight="1" x14ac:dyDescent="0.15">
      <c r="U256" s="201"/>
      <c r="AG256" s="201"/>
      <c r="BL256" s="201"/>
      <c r="BM256" s="201"/>
    </row>
    <row r="257" spans="2:65" s="218" customFormat="1" ht="15.95" hidden="1" customHeight="1" x14ac:dyDescent="0.15">
      <c r="B257" s="455" t="s">
        <v>789</v>
      </c>
      <c r="C257" s="263" t="s">
        <v>1309</v>
      </c>
      <c r="D257" s="525" t="s">
        <v>836</v>
      </c>
      <c r="J257" s="265"/>
      <c r="K257" s="265"/>
      <c r="U257" s="201"/>
      <c r="V257" s="201"/>
      <c r="AG257" s="201"/>
      <c r="BL257" s="201"/>
      <c r="BM257" s="201"/>
    </row>
    <row r="258" spans="2:65" s="218" customFormat="1" ht="15.95" hidden="1" customHeight="1" x14ac:dyDescent="0.15">
      <c r="C258" s="263" t="s">
        <v>1309</v>
      </c>
      <c r="D258" s="166">
        <f>R159</f>
        <v>9.4085101943095033</v>
      </c>
      <c r="E258" s="218" t="s">
        <v>1310</v>
      </c>
      <c r="F258" s="525"/>
      <c r="G258" s="166"/>
      <c r="U258" s="201"/>
      <c r="W258" s="201"/>
      <c r="X258" s="201"/>
      <c r="Y258" s="201"/>
      <c r="Z258" s="201"/>
      <c r="AA258" s="201"/>
      <c r="AB258" s="201"/>
      <c r="AC258" s="201"/>
      <c r="AD258" s="201"/>
      <c r="AE258" s="201"/>
      <c r="AF258" s="201"/>
      <c r="AG258" s="201"/>
      <c r="BL258" s="201"/>
      <c r="BM258" s="201"/>
    </row>
    <row r="259" spans="2:65" s="218" customFormat="1" ht="15.95" hidden="1" customHeight="1" x14ac:dyDescent="0.15">
      <c r="B259" s="408"/>
      <c r="C259" s="263"/>
      <c r="D259" s="217"/>
      <c r="E259" s="177"/>
      <c r="K259" s="408"/>
      <c r="N259" s="166"/>
      <c r="AG259" s="201"/>
      <c r="BL259" s="201"/>
      <c r="BM259" s="201"/>
    </row>
    <row r="260" spans="2:65" s="218" customFormat="1" ht="15.95" hidden="1" customHeight="1" x14ac:dyDescent="0.15">
      <c r="C260" s="408"/>
      <c r="D260" s="263"/>
      <c r="E260" s="166"/>
      <c r="G260" s="166"/>
      <c r="I260" s="166"/>
      <c r="BL260" s="201"/>
      <c r="BM260" s="201"/>
    </row>
    <row r="261" spans="2:65" s="218" customFormat="1" ht="15.95" hidden="1" customHeight="1" x14ac:dyDescent="0.15">
      <c r="B261" s="177" t="s">
        <v>1426</v>
      </c>
      <c r="BL261" s="201"/>
      <c r="BM261" s="201"/>
    </row>
    <row r="262" spans="2:65" s="218" customFormat="1" ht="15.95" hidden="1" customHeight="1" x14ac:dyDescent="0.15">
      <c r="BL262" s="201"/>
      <c r="BM262" s="201"/>
    </row>
    <row r="263" spans="2:65" s="218" customFormat="1" ht="15.95" hidden="1" customHeight="1" x14ac:dyDescent="0.15">
      <c r="B263" s="455" t="s">
        <v>837</v>
      </c>
      <c r="C263" s="263" t="s">
        <v>1309</v>
      </c>
      <c r="D263" s="217">
        <f>D178</f>
        <v>0.95873443288679694</v>
      </c>
      <c r="E263" s="177" t="s">
        <v>1310</v>
      </c>
      <c r="H263" s="204"/>
      <c r="I263" s="204"/>
      <c r="J263" s="204"/>
      <c r="BL263" s="201"/>
      <c r="BM263" s="201"/>
    </row>
    <row r="264" spans="2:65" s="218" customFormat="1" ht="15.95" hidden="1" customHeight="1" x14ac:dyDescent="0.15">
      <c r="B264" s="455" t="s">
        <v>789</v>
      </c>
      <c r="C264" s="263" t="s">
        <v>1309</v>
      </c>
      <c r="D264" s="217">
        <f>D258</f>
        <v>9.4085101943095033</v>
      </c>
      <c r="E264" s="177" t="s">
        <v>1310</v>
      </c>
      <c r="H264" s="204"/>
      <c r="I264" s="204"/>
      <c r="J264" s="204"/>
      <c r="BL264" s="201"/>
      <c r="BM264" s="201"/>
    </row>
    <row r="265" spans="2:65" s="218" customFormat="1" ht="15.95" hidden="1" customHeight="1" x14ac:dyDescent="0.15">
      <c r="B265" s="235"/>
      <c r="C265" s="409"/>
      <c r="D265" s="206"/>
      <c r="E265" s="410"/>
      <c r="F265" s="198"/>
      <c r="H265" s="204"/>
      <c r="I265" s="204"/>
      <c r="J265" s="204"/>
      <c r="BL265" s="201"/>
      <c r="BM265" s="201"/>
    </row>
    <row r="266" spans="2:65" s="218" customFormat="1" ht="15.95" hidden="1" customHeight="1" x14ac:dyDescent="0.15">
      <c r="B266" s="476" t="s">
        <v>838</v>
      </c>
      <c r="C266" s="263" t="s">
        <v>1309</v>
      </c>
      <c r="D266" s="205">
        <f>D263/D264</f>
        <v>0.10190076995045007</v>
      </c>
      <c r="E266" s="206" t="str">
        <f>IF(D266&gt;F266,"&gt;","&lt;")</f>
        <v>&lt;</v>
      </c>
      <c r="F266" s="207">
        <v>1</v>
      </c>
      <c r="G266" s="208" t="str">
        <f>IF(D266&lt;F266,"O.K.","N.G.")</f>
        <v>O.K.</v>
      </c>
      <c r="H266" s="204"/>
      <c r="I266" s="204"/>
      <c r="J266" s="204"/>
      <c r="N266" s="166"/>
      <c r="O266" s="411"/>
      <c r="BL266" s="201"/>
      <c r="BM266" s="201"/>
    </row>
    <row r="267" spans="2:65" ht="15.95" hidden="1" customHeight="1" x14ac:dyDescent="0.15">
      <c r="H267" s="204"/>
      <c r="I267" s="204"/>
      <c r="J267" s="204"/>
      <c r="W267" s="218"/>
      <c r="X267" s="218"/>
      <c r="Y267" s="218"/>
      <c r="Z267" s="218"/>
      <c r="AA267" s="218"/>
      <c r="AB267" s="218"/>
      <c r="AC267" s="218"/>
      <c r="AD267" s="218"/>
      <c r="AE267" s="218"/>
      <c r="AF267" s="218"/>
      <c r="AG267" s="218"/>
      <c r="AH267" s="218"/>
      <c r="AI267" s="218"/>
      <c r="AJ267" s="218"/>
      <c r="AK267" s="218"/>
      <c r="AL267" s="218"/>
      <c r="AM267" s="218"/>
      <c r="AN267" s="218"/>
      <c r="AO267" s="218"/>
    </row>
    <row r="268" spans="2:65" ht="15" hidden="1" customHeight="1" x14ac:dyDescent="0.15"/>
  </sheetData>
  <sheetProtection algorithmName="SHA-512" hashValue="eAMYI6EUghGgtkTYdkSSu8bLntsEFgbWIZgxPvNGORqh3/UnEJo9ke/gbbcCv6gnXkpBZrFGF+FDK2bPrOdNOA==" saltValue="qtXKzgUavRXKxRhIfpc7Ug==" spinCount="100000" sheet="1" objects="1" scenarios="1" selectLockedCells="1"/>
  <mergeCells count="55">
    <mergeCell ref="R23:U23"/>
    <mergeCell ref="N36:O36"/>
    <mergeCell ref="N37:O37"/>
    <mergeCell ref="N38:O38"/>
    <mergeCell ref="N24:O24"/>
    <mergeCell ref="N25:O25"/>
    <mergeCell ref="R77:R78"/>
    <mergeCell ref="M26:M32"/>
    <mergeCell ref="N26:O26"/>
    <mergeCell ref="N27:O27"/>
    <mergeCell ref="N28:O28"/>
    <mergeCell ref="N29:O29"/>
    <mergeCell ref="N30:O30"/>
    <mergeCell ref="N31:O31"/>
    <mergeCell ref="N32:O32"/>
    <mergeCell ref="O239:Q239"/>
    <mergeCell ref="D240:F240"/>
    <mergeCell ref="O240:Q240"/>
    <mergeCell ref="D251:F251"/>
    <mergeCell ref="N204:O204"/>
    <mergeCell ref="D205:F205"/>
    <mergeCell ref="N217:R217"/>
    <mergeCell ref="M16:N16"/>
    <mergeCell ref="B43:K43"/>
    <mergeCell ref="M21:M23"/>
    <mergeCell ref="N21:O21"/>
    <mergeCell ref="N22:O22"/>
    <mergeCell ref="N23:O23"/>
    <mergeCell ref="N39:O39"/>
    <mergeCell ref="M24:M25"/>
    <mergeCell ref="Z233:AA233"/>
    <mergeCell ref="O238:Q238"/>
    <mergeCell ref="R238:S238"/>
    <mergeCell ref="Z183:AA183"/>
    <mergeCell ref="N184:O184"/>
    <mergeCell ref="Q184:R184"/>
    <mergeCell ref="N192:O192"/>
    <mergeCell ref="Q192:R192"/>
    <mergeCell ref="N198:O198"/>
    <mergeCell ref="S77:S78"/>
    <mergeCell ref="G80:J81"/>
    <mergeCell ref="T143:U143"/>
    <mergeCell ref="N157:O157"/>
    <mergeCell ref="C39:E39"/>
    <mergeCell ref="F39:I39"/>
    <mergeCell ref="J39:K39"/>
    <mergeCell ref="N77:N78"/>
    <mergeCell ref="O77:O78"/>
    <mergeCell ref="P77:P78"/>
    <mergeCell ref="M33:M40"/>
    <mergeCell ref="N33:O33"/>
    <mergeCell ref="N34:O34"/>
    <mergeCell ref="N35:O35"/>
    <mergeCell ref="N40:O40"/>
    <mergeCell ref="Q77:Q78"/>
  </mergeCells>
  <phoneticPr fontId="1" type="noConversion"/>
  <conditionalFormatting sqref="B10:K14">
    <cfRule type="expression" dxfId="3" priority="4">
      <formula>$N$1=1</formula>
    </cfRule>
  </conditionalFormatting>
  <conditionalFormatting sqref="M127:N127 N129 M134:M135 M128:M130">
    <cfRule type="expression" dxfId="2" priority="3">
      <formula>$S$1=1</formula>
    </cfRule>
  </conditionalFormatting>
  <conditionalFormatting sqref="N128">
    <cfRule type="expression" dxfId="1" priority="2">
      <formula>$S$1=1</formula>
    </cfRule>
  </conditionalFormatting>
  <conditionalFormatting sqref="D128">
    <cfRule type="expression" dxfId="0" priority="1">
      <formula>$S$1=1</formula>
    </cfRule>
  </conditionalFormatting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B3B1-CEE0-4543-AC91-4396D259F5C4}">
  <sheetPr codeName="Sheet2">
    <tabColor rgb="FFC00000"/>
  </sheetPr>
  <dimension ref="A1:AH156"/>
  <sheetViews>
    <sheetView view="pageBreakPreview" zoomScale="115" zoomScaleNormal="100" zoomScaleSheetLayoutView="115" workbookViewId="0">
      <selection activeCell="F18" sqref="F18"/>
    </sheetView>
  </sheetViews>
  <sheetFormatPr defaultColWidth="5.77734375" defaultRowHeight="14.25" x14ac:dyDescent="0.15"/>
  <cols>
    <col min="1" max="2" width="2.77734375" style="651" customWidth="1"/>
    <col min="3" max="9" width="7.33203125" style="651" customWidth="1"/>
    <col min="10" max="11" width="7.33203125" style="652" customWidth="1"/>
    <col min="12" max="12" width="5.33203125" style="652" customWidth="1"/>
    <col min="13" max="13" width="2.77734375" style="652" customWidth="1"/>
    <col min="14" max="20" width="6.77734375" style="651" hidden="1" customWidth="1"/>
    <col min="21" max="24" width="7.5546875" style="651" hidden="1" customWidth="1"/>
    <col min="25" max="25" width="6.77734375" style="651" hidden="1" customWidth="1"/>
    <col min="26" max="26" width="3.77734375" style="651" hidden="1" customWidth="1"/>
    <col min="27" max="27" width="4.77734375" style="651" hidden="1" customWidth="1"/>
    <col min="28" max="28" width="6.77734375" style="651" hidden="1" customWidth="1"/>
    <col min="29" max="29" width="51.33203125" style="651" hidden="1" customWidth="1"/>
    <col min="30" max="31" width="3.77734375" style="651" hidden="1" customWidth="1"/>
    <col min="32" max="33" width="6.77734375" style="651" hidden="1" customWidth="1"/>
    <col min="34" max="34" width="5.77734375" style="651" hidden="1" customWidth="1"/>
    <col min="35" max="35" width="5.77734375" style="651" customWidth="1"/>
    <col min="36" max="16384" width="5.77734375" style="651"/>
  </cols>
  <sheetData>
    <row r="1" spans="1:33" s="537" customFormat="1" ht="32.1" customHeight="1" x14ac:dyDescent="0.15">
      <c r="A1" s="535"/>
      <c r="B1" s="536" t="s">
        <v>460</v>
      </c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33" s="537" customFormat="1" ht="15.95" customHeight="1" x14ac:dyDescent="0.15">
      <c r="A2" s="535"/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</row>
    <row r="3" spans="1:33" s="1" customFormat="1" ht="15.95" customHeight="1" x14ac:dyDescent="0.15">
      <c r="B3" s="538" t="s">
        <v>15</v>
      </c>
      <c r="C3" s="539" t="s">
        <v>1095</v>
      </c>
      <c r="I3" s="540"/>
      <c r="Y3" s="537" t="s">
        <v>13</v>
      </c>
      <c r="Z3" s="541">
        <f t="shared" ref="Z3:Z51" si="0">ROUNDDOWN(COUNT(AD3),0)</f>
        <v>0</v>
      </c>
      <c r="AA3" s="541">
        <v>30</v>
      </c>
      <c r="AB3" s="541" t="s">
        <v>14</v>
      </c>
      <c r="AC3" s="542" t="s">
        <v>461</v>
      </c>
      <c r="AD3" s="541" t="e">
        <f t="shared" ref="AD3:AD52" si="1">FIND($O$9,AC3,1)</f>
        <v>#VALUE!</v>
      </c>
      <c r="AE3" s="541">
        <f t="shared" ref="AE3:AE52" si="2">Z3*AA3</f>
        <v>0</v>
      </c>
      <c r="AF3" s="543" t="str">
        <f>IF(AE3=0,"",AB3)</f>
        <v/>
      </c>
      <c r="AG3" s="544" t="str">
        <f t="shared" ref="AG3:AG6" si="3">IF(AE3=0,"",MID(AC3,AD3,4))</f>
        <v/>
      </c>
    </row>
    <row r="4" spans="1:33" s="1" customFormat="1" ht="15.95" customHeight="1" x14ac:dyDescent="0.15">
      <c r="A4" s="545"/>
      <c r="C4" s="546"/>
      <c r="Y4" s="537"/>
      <c r="Z4" s="541">
        <f t="shared" si="0"/>
        <v>0</v>
      </c>
      <c r="AA4" s="541">
        <v>28</v>
      </c>
      <c r="AB4" s="541" t="s">
        <v>14</v>
      </c>
      <c r="AC4" s="542" t="s">
        <v>462</v>
      </c>
      <c r="AD4" s="541" t="e">
        <f t="shared" si="1"/>
        <v>#VALUE!</v>
      </c>
      <c r="AE4" s="541">
        <f t="shared" si="2"/>
        <v>0</v>
      </c>
      <c r="AF4" s="543" t="str">
        <f t="shared" ref="AF4:AF35" si="4">IF(AE4=0,"",AB4)</f>
        <v/>
      </c>
      <c r="AG4" s="544" t="str">
        <f t="shared" si="3"/>
        <v/>
      </c>
    </row>
    <row r="5" spans="1:33" s="547" customFormat="1" ht="15.95" customHeight="1" x14ac:dyDescent="0.15">
      <c r="B5" s="548" t="s">
        <v>17</v>
      </c>
      <c r="C5" s="547" t="s">
        <v>627</v>
      </c>
      <c r="Y5" s="549"/>
      <c r="Z5" s="541">
        <f t="shared" si="0"/>
        <v>1</v>
      </c>
      <c r="AA5" s="541">
        <v>26</v>
      </c>
      <c r="AB5" s="541" t="s">
        <v>14</v>
      </c>
      <c r="AC5" s="542" t="s">
        <v>463</v>
      </c>
      <c r="AD5" s="541">
        <f t="shared" si="1"/>
        <v>1</v>
      </c>
      <c r="AE5" s="541">
        <f t="shared" si="2"/>
        <v>26</v>
      </c>
      <c r="AF5" s="543" t="str">
        <f t="shared" si="4"/>
        <v>경기도</v>
      </c>
      <c r="AG5" s="544" t="str">
        <f t="shared" si="3"/>
        <v xml:space="preserve">서울시 </v>
      </c>
    </row>
    <row r="6" spans="1:33" s="549" customFormat="1" ht="15.95" customHeight="1" x14ac:dyDescent="0.15">
      <c r="B6" s="548"/>
      <c r="C6" s="547"/>
      <c r="Q6" s="549" t="s">
        <v>1</v>
      </c>
      <c r="Y6" s="1"/>
      <c r="Z6" s="541">
        <f t="shared" si="0"/>
        <v>0</v>
      </c>
      <c r="AA6" s="541">
        <v>26</v>
      </c>
      <c r="AB6" s="541" t="s">
        <v>14</v>
      </c>
      <c r="AC6" s="542" t="s">
        <v>1436</v>
      </c>
      <c r="AD6" s="541" t="e">
        <f t="shared" si="1"/>
        <v>#VALUE!</v>
      </c>
      <c r="AE6" s="541">
        <f t="shared" si="2"/>
        <v>0</v>
      </c>
      <c r="AF6" s="543" t="str">
        <f t="shared" si="4"/>
        <v/>
      </c>
      <c r="AG6" s="544" t="str">
        <f t="shared" si="3"/>
        <v/>
      </c>
    </row>
    <row r="7" spans="1:33" s="549" customFormat="1" ht="15.95" customHeight="1" x14ac:dyDescent="0.15">
      <c r="B7" s="2" t="s">
        <v>628</v>
      </c>
      <c r="Y7" s="1"/>
      <c r="Z7" s="541">
        <f t="shared" si="0"/>
        <v>0</v>
      </c>
      <c r="AA7" s="541">
        <v>26</v>
      </c>
      <c r="AB7" s="541" t="s">
        <v>14</v>
      </c>
      <c r="AC7" s="542" t="s">
        <v>1435</v>
      </c>
      <c r="AD7" s="541" t="e">
        <f t="shared" si="1"/>
        <v>#VALUE!</v>
      </c>
      <c r="AE7" s="541">
        <f t="shared" si="2"/>
        <v>0</v>
      </c>
      <c r="AF7" s="543" t="str">
        <f>IF(OR(AE7=0,O10=2),"",AB7)</f>
        <v/>
      </c>
      <c r="AG7" s="544" t="str">
        <f>IF(OR(AE7=0,O10=2),"",IF(AE7=0,"",MID(AC7,AD7,4)))</f>
        <v/>
      </c>
    </row>
    <row r="8" spans="1:33" s="549" customFormat="1" ht="15.95" customHeight="1" x14ac:dyDescent="0.15">
      <c r="B8" s="2"/>
      <c r="Y8" s="1"/>
      <c r="Z8" s="541">
        <f t="shared" si="0"/>
        <v>0</v>
      </c>
      <c r="AA8" s="541">
        <v>24</v>
      </c>
      <c r="AB8" s="541" t="s">
        <v>14</v>
      </c>
      <c r="AC8" s="542" t="s">
        <v>464</v>
      </c>
      <c r="AD8" s="541" t="e">
        <f t="shared" si="1"/>
        <v>#VALUE!</v>
      </c>
      <c r="AE8" s="541">
        <f t="shared" si="2"/>
        <v>0</v>
      </c>
      <c r="AF8" s="543" t="str">
        <f t="shared" si="4"/>
        <v/>
      </c>
      <c r="AG8" s="544" t="str">
        <f>IF(AE8=0,"",MID(AC8,AD8,4))</f>
        <v/>
      </c>
    </row>
    <row r="9" spans="1:33" s="1" customFormat="1" ht="15.95" customHeight="1" x14ac:dyDescent="0.15">
      <c r="B9" s="538" t="s">
        <v>15</v>
      </c>
      <c r="C9" s="1" t="s">
        <v>22</v>
      </c>
      <c r="E9" s="550" t="s">
        <v>23</v>
      </c>
      <c r="F9" s="551" t="str">
        <f>O15</f>
        <v>서울</v>
      </c>
      <c r="G9" s="540" t="str">
        <f>P15</f>
        <v>특별시</v>
      </c>
      <c r="N9" s="537" t="s">
        <v>12</v>
      </c>
      <c r="O9" s="552" t="str">
        <f>'WIND LOAD'!O9</f>
        <v>서울</v>
      </c>
      <c r="P9" s="537"/>
      <c r="Q9" s="553"/>
      <c r="Y9" s="547"/>
      <c r="Z9" s="541">
        <f t="shared" si="0"/>
        <v>0</v>
      </c>
      <c r="AA9" s="541">
        <v>34</v>
      </c>
      <c r="AB9" s="541" t="s">
        <v>16</v>
      </c>
      <c r="AC9" s="542" t="s">
        <v>465</v>
      </c>
      <c r="AD9" s="541" t="e">
        <f t="shared" si="1"/>
        <v>#VALUE!</v>
      </c>
      <c r="AE9" s="541">
        <f t="shared" si="2"/>
        <v>0</v>
      </c>
      <c r="AF9" s="543" t="str">
        <f>IF(OR(AE9=0,O10=4),"",AB9)</f>
        <v/>
      </c>
      <c r="AG9" s="544" t="str">
        <f>IF(OR(AE9=0,O10=4),"",IF(AE9=0,"",MID(AC9,AD9,4)))</f>
        <v/>
      </c>
    </row>
    <row r="10" spans="1:33" s="1" customFormat="1" ht="15.95" customHeight="1" x14ac:dyDescent="0.15">
      <c r="B10" s="538" t="s">
        <v>15</v>
      </c>
      <c r="C10" s="1" t="s">
        <v>629</v>
      </c>
      <c r="E10" s="550" t="s">
        <v>23</v>
      </c>
      <c r="F10" s="554">
        <f>'WIND LOAD'!F9</f>
        <v>10</v>
      </c>
      <c r="G10" s="555" t="s">
        <v>24</v>
      </c>
      <c r="H10" s="539"/>
      <c r="I10" s="539"/>
      <c r="N10" s="556" t="str">
        <f>IF(O9="광주","광주일때",IF(O9="고성","고성일때","빈칸일것"))</f>
        <v>빈칸일것</v>
      </c>
      <c r="O10" s="552">
        <f>'WIND LOAD'!O10</f>
        <v>0</v>
      </c>
      <c r="P10" s="537"/>
      <c r="Y10" s="549"/>
      <c r="Z10" s="541">
        <f t="shared" si="0"/>
        <v>0</v>
      </c>
      <c r="AA10" s="541">
        <v>30</v>
      </c>
      <c r="AB10" s="541" t="s">
        <v>16</v>
      </c>
      <c r="AC10" s="542" t="s">
        <v>466</v>
      </c>
      <c r="AD10" s="541" t="e">
        <f t="shared" si="1"/>
        <v>#VALUE!</v>
      </c>
      <c r="AE10" s="541">
        <f t="shared" si="2"/>
        <v>0</v>
      </c>
      <c r="AF10" s="543" t="str">
        <f t="shared" si="4"/>
        <v/>
      </c>
      <c r="AG10" s="544" t="str">
        <f t="shared" ref="AG10:AG35" si="5">IF(AE10=0,"",MID(AC10,AD10,4))</f>
        <v/>
      </c>
    </row>
    <row r="11" spans="1:33" s="1" customFormat="1" ht="15.95" customHeight="1" x14ac:dyDescent="0.15">
      <c r="B11" s="538"/>
      <c r="E11" s="550"/>
      <c r="F11" s="554"/>
      <c r="G11" s="555"/>
      <c r="H11" s="539"/>
      <c r="I11" s="539"/>
      <c r="N11" s="557" t="str">
        <f>IF(O9="광주",1,IF(O9="고성",3,"-"))</f>
        <v>-</v>
      </c>
      <c r="O11" s="557" t="str">
        <f>IF(O9="광주","경기",IF(O9="고성","강원","-"))</f>
        <v>-</v>
      </c>
      <c r="P11" s="549"/>
      <c r="Y11" s="549"/>
      <c r="Z11" s="541">
        <f t="shared" si="0"/>
        <v>0</v>
      </c>
      <c r="AA11" s="541">
        <v>26</v>
      </c>
      <c r="AB11" s="541" t="s">
        <v>16</v>
      </c>
      <c r="AC11" s="542" t="s">
        <v>467</v>
      </c>
      <c r="AD11" s="541" t="e">
        <f t="shared" si="1"/>
        <v>#VALUE!</v>
      </c>
      <c r="AE11" s="541">
        <f t="shared" si="2"/>
        <v>0</v>
      </c>
      <c r="AF11" s="543" t="str">
        <f t="shared" si="4"/>
        <v/>
      </c>
      <c r="AG11" s="544" t="str">
        <f t="shared" si="5"/>
        <v/>
      </c>
    </row>
    <row r="12" spans="1:33" s="1" customFormat="1" ht="15.95" customHeight="1" x14ac:dyDescent="0.15">
      <c r="B12" s="538" t="s">
        <v>15</v>
      </c>
      <c r="C12" s="1" t="s">
        <v>25</v>
      </c>
      <c r="E12" s="550" t="s">
        <v>23</v>
      </c>
      <c r="F12" s="558">
        <f>O14</f>
        <v>26</v>
      </c>
      <c r="G12" s="539" t="s">
        <v>26</v>
      </c>
      <c r="H12" s="539"/>
      <c r="I12" s="539"/>
      <c r="N12" s="557" t="str">
        <f>IF(O9="광주",2,IF(O9="고성",4,"-"))</f>
        <v>-</v>
      </c>
      <c r="O12" s="559" t="str">
        <f>IF(O9="광주","전라",IF(O9="고성","경상","-"))</f>
        <v>-</v>
      </c>
      <c r="Y12" s="549"/>
      <c r="Z12" s="541">
        <f t="shared" si="0"/>
        <v>0</v>
      </c>
      <c r="AA12" s="541">
        <v>24</v>
      </c>
      <c r="AB12" s="541" t="s">
        <v>16</v>
      </c>
      <c r="AC12" s="542" t="s">
        <v>469</v>
      </c>
      <c r="AD12" s="541" t="e">
        <f t="shared" si="1"/>
        <v>#VALUE!</v>
      </c>
      <c r="AE12" s="541">
        <f t="shared" si="2"/>
        <v>0</v>
      </c>
      <c r="AF12" s="543" t="str">
        <f t="shared" si="4"/>
        <v/>
      </c>
      <c r="AG12" s="544" t="str">
        <f t="shared" si="5"/>
        <v/>
      </c>
    </row>
    <row r="13" spans="1:33" s="1" customFormat="1" ht="15.95" customHeight="1" x14ac:dyDescent="0.15">
      <c r="B13" s="538" t="s">
        <v>15</v>
      </c>
      <c r="C13" s="1" t="s">
        <v>27</v>
      </c>
      <c r="E13" s="550" t="s">
        <v>23</v>
      </c>
      <c r="F13" s="554" t="str">
        <f>'WIND LOAD'!F12</f>
        <v>C</v>
      </c>
      <c r="G13" s="539"/>
      <c r="H13" s="539"/>
      <c r="I13" s="539"/>
      <c r="P13" s="553"/>
      <c r="Y13" s="549"/>
      <c r="Z13" s="541">
        <f t="shared" si="0"/>
        <v>0</v>
      </c>
      <c r="AA13" s="541">
        <v>30</v>
      </c>
      <c r="AB13" s="560" t="s">
        <v>471</v>
      </c>
      <c r="AC13" s="542" t="s">
        <v>472</v>
      </c>
      <c r="AD13" s="541" t="e">
        <f t="shared" si="1"/>
        <v>#VALUE!</v>
      </c>
      <c r="AE13" s="541">
        <f t="shared" si="2"/>
        <v>0</v>
      </c>
      <c r="AF13" s="543" t="str">
        <f t="shared" si="4"/>
        <v/>
      </c>
      <c r="AG13" s="544" t="str">
        <f t="shared" si="5"/>
        <v/>
      </c>
    </row>
    <row r="14" spans="1:33" s="1" customFormat="1" ht="15.95" customHeight="1" x14ac:dyDescent="0.15">
      <c r="B14" s="538" t="s">
        <v>15</v>
      </c>
      <c r="C14" s="1" t="s">
        <v>28</v>
      </c>
      <c r="E14" s="550" t="s">
        <v>23</v>
      </c>
      <c r="F14" s="561">
        <f>'WIND LOAD'!F13</f>
        <v>1</v>
      </c>
      <c r="G14" s="539"/>
      <c r="H14" s="539"/>
      <c r="I14" s="539"/>
      <c r="N14" s="1" t="s">
        <v>19</v>
      </c>
      <c r="O14" s="562">
        <f>IF(O9="광주",IF(O10=1,26,IF(O10=2,26,"타입입력")),IF(O9="고성",IF(O10=3,34,IF(O10=4,32,"타입입력")),SUM(AE3:AE52)))</f>
        <v>26</v>
      </c>
      <c r="P14" s="553"/>
      <c r="Z14" s="541">
        <f t="shared" si="0"/>
        <v>0</v>
      </c>
      <c r="AA14" s="541">
        <v>28</v>
      </c>
      <c r="AB14" s="560" t="s">
        <v>471</v>
      </c>
      <c r="AC14" s="542" t="s">
        <v>473</v>
      </c>
      <c r="AD14" s="541" t="e">
        <f t="shared" si="1"/>
        <v>#VALUE!</v>
      </c>
      <c r="AE14" s="541">
        <f t="shared" si="2"/>
        <v>0</v>
      </c>
      <c r="AF14" s="543" t="str">
        <f t="shared" si="4"/>
        <v/>
      </c>
      <c r="AG14" s="544" t="str">
        <f t="shared" si="5"/>
        <v/>
      </c>
    </row>
    <row r="15" spans="1:33" s="1" customFormat="1" ht="15.95" customHeight="1" x14ac:dyDescent="0.15">
      <c r="B15" s="538" t="s">
        <v>15</v>
      </c>
      <c r="C15" s="1" t="s">
        <v>29</v>
      </c>
      <c r="E15" s="550" t="s">
        <v>23</v>
      </c>
      <c r="F15" s="561">
        <f>'WIND LOAD'!F14</f>
        <v>1</v>
      </c>
      <c r="G15" s="539"/>
      <c r="H15" s="539"/>
      <c r="I15" s="539"/>
      <c r="N15" s="1" t="s">
        <v>20</v>
      </c>
      <c r="O15" s="563" t="str">
        <f>IF(OR(O9="인천",O10=2,O9="대전",O9="부산",O9="대구",O9="울산",O9="세종",O9="서울"),O9,AF53)</f>
        <v>서울</v>
      </c>
      <c r="P15" s="544" t="str">
        <f>IF(OR(O10=2,O9="인천",O9="대전",O9="부산",O9="대구",O9="울산"),"광역시",IF(O9="세종","특별자치시",IF(O9="서울","특별시",IF(O10=2,"광역시",AG53))))</f>
        <v>특별시</v>
      </c>
      <c r="Z15" s="541">
        <f t="shared" si="0"/>
        <v>0</v>
      </c>
      <c r="AA15" s="541">
        <v>26</v>
      </c>
      <c r="AB15" s="560" t="s">
        <v>471</v>
      </c>
      <c r="AC15" s="542" t="s">
        <v>474</v>
      </c>
      <c r="AD15" s="541" t="e">
        <f t="shared" si="1"/>
        <v>#VALUE!</v>
      </c>
      <c r="AE15" s="541">
        <f t="shared" si="2"/>
        <v>0</v>
      </c>
      <c r="AF15" s="543" t="str">
        <f t="shared" si="4"/>
        <v/>
      </c>
      <c r="AG15" s="544" t="str">
        <f t="shared" si="5"/>
        <v/>
      </c>
    </row>
    <row r="16" spans="1:33" s="1" customFormat="1" ht="15.95" customHeight="1" x14ac:dyDescent="0.15">
      <c r="B16" s="538" t="s">
        <v>15</v>
      </c>
      <c r="C16" s="1" t="s">
        <v>30</v>
      </c>
      <c r="E16" s="550" t="s">
        <v>23</v>
      </c>
      <c r="F16" s="554">
        <f>'WIND LOAD'!F15</f>
        <v>1000</v>
      </c>
      <c r="G16" s="564" t="s">
        <v>31</v>
      </c>
      <c r="H16" s="565">
        <f>'WIND LOAD'!H15</f>
        <v>3900</v>
      </c>
      <c r="I16" s="564" t="s">
        <v>32</v>
      </c>
      <c r="O16" s="551"/>
      <c r="Z16" s="541">
        <f t="shared" si="0"/>
        <v>0</v>
      </c>
      <c r="AA16" s="541">
        <v>24</v>
      </c>
      <c r="AB16" s="560" t="s">
        <v>471</v>
      </c>
      <c r="AC16" s="542" t="s">
        <v>475</v>
      </c>
      <c r="AD16" s="541" t="e">
        <f t="shared" si="1"/>
        <v>#VALUE!</v>
      </c>
      <c r="AE16" s="541">
        <f t="shared" si="2"/>
        <v>0</v>
      </c>
      <c r="AF16" s="543" t="str">
        <f t="shared" si="4"/>
        <v/>
      </c>
      <c r="AG16" s="544" t="str">
        <f t="shared" si="5"/>
        <v/>
      </c>
    </row>
    <row r="17" spans="2:33" s="1" customFormat="1" ht="15.95" customHeight="1" x14ac:dyDescent="0.15">
      <c r="B17" s="538"/>
      <c r="E17" s="550"/>
      <c r="F17" s="565"/>
      <c r="G17" s="564"/>
      <c r="H17" s="565"/>
      <c r="I17" s="564"/>
      <c r="Z17" s="541">
        <f t="shared" si="0"/>
        <v>0</v>
      </c>
      <c r="AA17" s="541">
        <v>34</v>
      </c>
      <c r="AB17" s="566" t="s">
        <v>476</v>
      </c>
      <c r="AC17" s="542" t="s">
        <v>477</v>
      </c>
      <c r="AD17" s="541" t="e">
        <f t="shared" si="1"/>
        <v>#VALUE!</v>
      </c>
      <c r="AE17" s="541">
        <f t="shared" si="2"/>
        <v>0</v>
      </c>
      <c r="AF17" s="543" t="str">
        <f t="shared" si="4"/>
        <v/>
      </c>
      <c r="AG17" s="544" t="str">
        <f t="shared" si="5"/>
        <v/>
      </c>
    </row>
    <row r="18" spans="2:33" s="1" customFormat="1" ht="15.95" customHeight="1" x14ac:dyDescent="0.15">
      <c r="B18" s="2" t="s">
        <v>630</v>
      </c>
      <c r="C18" s="549"/>
      <c r="E18" s="550"/>
      <c r="F18" s="567"/>
      <c r="G18" s="540"/>
      <c r="H18" s="567"/>
      <c r="I18" s="540" t="s">
        <v>1</v>
      </c>
      <c r="Z18" s="541">
        <f t="shared" si="0"/>
        <v>0</v>
      </c>
      <c r="AA18" s="541">
        <v>32</v>
      </c>
      <c r="AB18" s="566" t="s">
        <v>476</v>
      </c>
      <c r="AC18" s="542" t="s">
        <v>478</v>
      </c>
      <c r="AD18" s="541" t="e">
        <f t="shared" si="1"/>
        <v>#VALUE!</v>
      </c>
      <c r="AE18" s="541">
        <f t="shared" si="2"/>
        <v>0</v>
      </c>
      <c r="AF18" s="543" t="str">
        <f t="shared" si="4"/>
        <v/>
      </c>
      <c r="AG18" s="544" t="str">
        <f t="shared" si="5"/>
        <v/>
      </c>
    </row>
    <row r="19" spans="2:33" s="1" customFormat="1" ht="15.95" customHeight="1" x14ac:dyDescent="0.15">
      <c r="B19" s="2"/>
      <c r="C19" s="549"/>
      <c r="E19" s="550"/>
      <c r="F19" s="567"/>
      <c r="G19" s="540"/>
      <c r="H19" s="567"/>
      <c r="I19" s="540"/>
      <c r="Z19" s="541">
        <f t="shared" si="0"/>
        <v>0</v>
      </c>
      <c r="AA19" s="541">
        <v>30</v>
      </c>
      <c r="AB19" s="566" t="s">
        <v>476</v>
      </c>
      <c r="AC19" s="542" t="s">
        <v>479</v>
      </c>
      <c r="AD19" s="541" t="e">
        <f t="shared" si="1"/>
        <v>#VALUE!</v>
      </c>
      <c r="AE19" s="541">
        <f t="shared" si="2"/>
        <v>0</v>
      </c>
      <c r="AF19" s="543" t="str">
        <f t="shared" si="4"/>
        <v/>
      </c>
      <c r="AG19" s="544" t="str">
        <f t="shared" si="5"/>
        <v/>
      </c>
    </row>
    <row r="20" spans="2:33" s="1" customFormat="1" ht="15.95" customHeight="1" x14ac:dyDescent="0.15">
      <c r="B20" s="2"/>
      <c r="C20" s="762" t="s">
        <v>631</v>
      </c>
      <c r="D20" s="774" t="s">
        <v>537</v>
      </c>
      <c r="E20" s="768" t="s">
        <v>55</v>
      </c>
      <c r="F20" s="776"/>
      <c r="G20" s="777" t="s">
        <v>56</v>
      </c>
      <c r="H20" s="766" t="s">
        <v>633</v>
      </c>
      <c r="I20" s="768"/>
      <c r="Z20" s="541">
        <f t="shared" si="0"/>
        <v>0</v>
      </c>
      <c r="AA20" s="541">
        <v>28</v>
      </c>
      <c r="AB20" s="566" t="s">
        <v>476</v>
      </c>
      <c r="AC20" s="542" t="s">
        <v>480</v>
      </c>
      <c r="AD20" s="541" t="e">
        <f t="shared" si="1"/>
        <v>#VALUE!</v>
      </c>
      <c r="AE20" s="541">
        <f t="shared" si="2"/>
        <v>0</v>
      </c>
      <c r="AF20" s="543" t="str">
        <f t="shared" si="4"/>
        <v/>
      </c>
      <c r="AG20" s="544" t="str">
        <f t="shared" si="5"/>
        <v/>
      </c>
    </row>
    <row r="21" spans="2:33" s="1" customFormat="1" ht="15.95" customHeight="1" thickBot="1" x14ac:dyDescent="0.2">
      <c r="B21" s="2"/>
      <c r="C21" s="773"/>
      <c r="D21" s="775"/>
      <c r="E21" s="568" t="s">
        <v>634</v>
      </c>
      <c r="F21" s="568" t="s">
        <v>635</v>
      </c>
      <c r="G21" s="778"/>
      <c r="H21" s="569" t="s">
        <v>634</v>
      </c>
      <c r="I21" s="570" t="s">
        <v>635</v>
      </c>
      <c r="O21" s="756" t="s">
        <v>620</v>
      </c>
      <c r="P21" s="756"/>
      <c r="R21" s="756" t="s">
        <v>621</v>
      </c>
      <c r="S21" s="756"/>
      <c r="Z21" s="541">
        <f t="shared" si="0"/>
        <v>0</v>
      </c>
      <c r="AA21" s="541">
        <v>26</v>
      </c>
      <c r="AB21" s="566" t="s">
        <v>476</v>
      </c>
      <c r="AC21" s="542" t="s">
        <v>481</v>
      </c>
      <c r="AD21" s="541" t="e">
        <f t="shared" si="1"/>
        <v>#VALUE!</v>
      </c>
      <c r="AE21" s="541">
        <f t="shared" si="2"/>
        <v>0</v>
      </c>
      <c r="AF21" s="543" t="str">
        <f t="shared" si="4"/>
        <v/>
      </c>
      <c r="AG21" s="544" t="str">
        <f t="shared" si="5"/>
        <v/>
      </c>
    </row>
    <row r="22" spans="2:33" s="1" customFormat="1" ht="15.95" customHeight="1" thickTop="1" x14ac:dyDescent="0.15">
      <c r="B22" s="2"/>
      <c r="C22" s="769" t="s">
        <v>636</v>
      </c>
      <c r="D22" s="770">
        <f>E58</f>
        <v>414.75652620990599</v>
      </c>
      <c r="E22" s="770">
        <f>IF(F10&lt;20,U72,P72)</f>
        <v>1.7913541937196458</v>
      </c>
      <c r="F22" s="770">
        <f>IF(F10&lt;20,U79,P79)</f>
        <v>-1.9913541937196459</v>
      </c>
      <c r="G22" s="571">
        <v>-0.52</v>
      </c>
      <c r="H22" s="572">
        <f>ROUNDUP(O22,-1)/10^3</f>
        <v>0.96</v>
      </c>
      <c r="I22" s="573">
        <f>ROUNDUP(P22,0)/10^3</f>
        <v>-0.61099999999999999</v>
      </c>
      <c r="O22" s="574">
        <f>$D$22*($E$22-G22)</f>
        <v>958.64923622785841</v>
      </c>
      <c r="P22" s="574">
        <f>$D$22*($F$22-G22)</f>
        <v>-610.2537542115374</v>
      </c>
      <c r="R22" s="575">
        <f t="shared" ref="R22:S25" si="6">O22/9.80665</f>
        <v>97.755016874045523</v>
      </c>
      <c r="S22" s="576">
        <f t="shared" si="6"/>
        <v>-62.228564720015235</v>
      </c>
      <c r="Z22" s="541">
        <f t="shared" si="0"/>
        <v>0</v>
      </c>
      <c r="AA22" s="541">
        <v>24</v>
      </c>
      <c r="AB22" s="566" t="s">
        <v>476</v>
      </c>
      <c r="AC22" s="542" t="s">
        <v>482</v>
      </c>
      <c r="AD22" s="541" t="e">
        <f t="shared" si="1"/>
        <v>#VALUE!</v>
      </c>
      <c r="AE22" s="541">
        <f t="shared" si="2"/>
        <v>0</v>
      </c>
      <c r="AF22" s="543" t="str">
        <f t="shared" si="4"/>
        <v/>
      </c>
      <c r="AG22" s="544" t="str">
        <f t="shared" si="5"/>
        <v/>
      </c>
    </row>
    <row r="23" spans="2:33" s="1" customFormat="1" ht="15.95" customHeight="1" x14ac:dyDescent="0.15">
      <c r="B23" s="2"/>
      <c r="C23" s="758"/>
      <c r="D23" s="771"/>
      <c r="E23" s="771"/>
      <c r="F23" s="759"/>
      <c r="G23" s="577">
        <v>0</v>
      </c>
      <c r="H23" s="578">
        <f>ROUNDUP(O23,-1)/10^3</f>
        <v>0.75</v>
      </c>
      <c r="I23" s="579">
        <f>ROUNDUP(P23,0)/10^3</f>
        <v>-0.82599999999999996</v>
      </c>
      <c r="O23" s="574">
        <f>$D$22*($E$22-G23)</f>
        <v>742.97584259870723</v>
      </c>
      <c r="P23" s="574">
        <f>$D$22*($F$22-G23)</f>
        <v>-825.92714784068858</v>
      </c>
      <c r="R23" s="576">
        <f t="shared" si="6"/>
        <v>75.762451254883914</v>
      </c>
      <c r="S23" s="575">
        <f t="shared" si="6"/>
        <v>-84.221130339176852</v>
      </c>
      <c r="Z23" s="541">
        <f t="shared" si="0"/>
        <v>0</v>
      </c>
      <c r="AA23" s="541">
        <v>40</v>
      </c>
      <c r="AB23" s="560" t="s">
        <v>483</v>
      </c>
      <c r="AC23" s="542" t="s">
        <v>484</v>
      </c>
      <c r="AD23" s="541" t="e">
        <f t="shared" si="1"/>
        <v>#VALUE!</v>
      </c>
      <c r="AE23" s="541">
        <f t="shared" si="2"/>
        <v>0</v>
      </c>
      <c r="AF23" s="543" t="str">
        <f t="shared" si="4"/>
        <v/>
      </c>
      <c r="AG23" s="544" t="str">
        <f t="shared" si="5"/>
        <v/>
      </c>
    </row>
    <row r="24" spans="2:33" s="1" customFormat="1" ht="15.95" customHeight="1" x14ac:dyDescent="0.15">
      <c r="B24" s="2"/>
      <c r="C24" s="758" t="s">
        <v>637</v>
      </c>
      <c r="D24" s="771"/>
      <c r="E24" s="771"/>
      <c r="F24" s="772">
        <f>IF(F10&lt;20,U86,P86)</f>
        <v>-2.3827083874392914</v>
      </c>
      <c r="G24" s="577">
        <v>-0.52</v>
      </c>
      <c r="H24" s="580">
        <f>ROUNDUP(O24,-1)/10^3</f>
        <v>0.96</v>
      </c>
      <c r="I24" s="581">
        <f>ROUNDUP(P24,0)/10^3</f>
        <v>-0.77300000000000002</v>
      </c>
      <c r="O24" s="574">
        <f>$D$22*($E$22-G24)</f>
        <v>958.64923622785841</v>
      </c>
      <c r="P24" s="574">
        <f>$D$22*($F$24-G24)</f>
        <v>-772.57046011637613</v>
      </c>
      <c r="R24" s="575">
        <f t="shared" si="6"/>
        <v>97.755016874045523</v>
      </c>
      <c r="S24" s="576">
        <f t="shared" si="6"/>
        <v>-78.780262384848669</v>
      </c>
      <c r="Z24" s="541">
        <f t="shared" si="0"/>
        <v>0</v>
      </c>
      <c r="AA24" s="541">
        <v>36</v>
      </c>
      <c r="AB24" s="560" t="s">
        <v>483</v>
      </c>
      <c r="AC24" s="542" t="s">
        <v>485</v>
      </c>
      <c r="AD24" s="541" t="e">
        <f t="shared" si="1"/>
        <v>#VALUE!</v>
      </c>
      <c r="AE24" s="541">
        <f t="shared" si="2"/>
        <v>0</v>
      </c>
      <c r="AF24" s="543" t="str">
        <f t="shared" si="4"/>
        <v/>
      </c>
      <c r="AG24" s="544" t="str">
        <f t="shared" si="5"/>
        <v/>
      </c>
    </row>
    <row r="25" spans="2:33" s="1" customFormat="1" ht="15.95" customHeight="1" x14ac:dyDescent="0.15">
      <c r="B25" s="2"/>
      <c r="C25" s="758"/>
      <c r="D25" s="759"/>
      <c r="E25" s="759"/>
      <c r="F25" s="759"/>
      <c r="G25" s="577">
        <v>0</v>
      </c>
      <c r="H25" s="578">
        <f>ROUNDUP(O25,-1)/10^3</f>
        <v>0.75</v>
      </c>
      <c r="I25" s="579">
        <f>ROUNDUP(P25,0)/10^3</f>
        <v>-0.98899999999999999</v>
      </c>
      <c r="O25" s="574">
        <f>$D$22*($E$22-G25)</f>
        <v>742.97584259870723</v>
      </c>
      <c r="P25" s="574">
        <f>$D$22*($F$24-G25)</f>
        <v>-988.2438537455273</v>
      </c>
      <c r="R25" s="576">
        <f t="shared" si="6"/>
        <v>75.762451254883914</v>
      </c>
      <c r="S25" s="575">
        <f t="shared" si="6"/>
        <v>-100.77282800401028</v>
      </c>
      <c r="Z25" s="541">
        <f t="shared" si="0"/>
        <v>0</v>
      </c>
      <c r="AA25" s="541">
        <v>34</v>
      </c>
      <c r="AB25" s="560" t="s">
        <v>483</v>
      </c>
      <c r="AC25" s="542" t="s">
        <v>486</v>
      </c>
      <c r="AD25" s="541" t="e">
        <f t="shared" si="1"/>
        <v>#VALUE!</v>
      </c>
      <c r="AE25" s="541">
        <f t="shared" si="2"/>
        <v>0</v>
      </c>
      <c r="AF25" s="543" t="str">
        <f t="shared" si="4"/>
        <v/>
      </c>
      <c r="AG25" s="544" t="str">
        <f t="shared" si="5"/>
        <v/>
      </c>
    </row>
    <row r="26" spans="2:33" s="1" customFormat="1" ht="15.95" customHeight="1" x14ac:dyDescent="0.15">
      <c r="B26" s="2"/>
      <c r="C26" s="549"/>
      <c r="E26" s="550"/>
      <c r="F26" s="567"/>
      <c r="G26" s="540"/>
      <c r="H26" s="567"/>
      <c r="I26" s="540"/>
      <c r="Z26" s="541">
        <f t="shared" si="0"/>
        <v>0</v>
      </c>
      <c r="AA26" s="541">
        <v>34</v>
      </c>
      <c r="AB26" s="582" t="s">
        <v>487</v>
      </c>
      <c r="AC26" s="542" t="s">
        <v>488</v>
      </c>
      <c r="AD26" s="541" t="e">
        <f t="shared" si="1"/>
        <v>#VALUE!</v>
      </c>
      <c r="AE26" s="541">
        <f t="shared" si="2"/>
        <v>0</v>
      </c>
      <c r="AF26" s="543" t="str">
        <f t="shared" si="4"/>
        <v/>
      </c>
      <c r="AG26" s="544" t="str">
        <f t="shared" si="5"/>
        <v/>
      </c>
    </row>
    <row r="27" spans="2:33" s="1" customFormat="1" ht="15.95" customHeight="1" x14ac:dyDescent="0.15">
      <c r="B27" s="538" t="s">
        <v>15</v>
      </c>
      <c r="C27" s="583" t="s">
        <v>648</v>
      </c>
      <c r="D27" s="584" t="s">
        <v>60</v>
      </c>
      <c r="E27" s="583" t="s">
        <v>61</v>
      </c>
      <c r="F27" s="585"/>
      <c r="G27" s="549"/>
      <c r="H27" s="540"/>
      <c r="I27" s="540"/>
      <c r="Z27" s="541">
        <f t="shared" si="0"/>
        <v>0</v>
      </c>
      <c r="AA27" s="541">
        <v>32</v>
      </c>
      <c r="AB27" s="560" t="s">
        <v>483</v>
      </c>
      <c r="AC27" s="542" t="s">
        <v>489</v>
      </c>
      <c r="AD27" s="541" t="e">
        <f t="shared" si="1"/>
        <v>#VALUE!</v>
      </c>
      <c r="AE27" s="541">
        <f t="shared" si="2"/>
        <v>0</v>
      </c>
      <c r="AF27" s="543" t="str">
        <f t="shared" si="4"/>
        <v/>
      </c>
      <c r="AG27" s="544" t="str">
        <f t="shared" si="5"/>
        <v/>
      </c>
    </row>
    <row r="28" spans="2:33" s="1" customFormat="1" ht="15.95" customHeight="1" x14ac:dyDescent="0.15">
      <c r="K28" s="550"/>
      <c r="Z28" s="541">
        <f t="shared" si="0"/>
        <v>0</v>
      </c>
      <c r="AA28" s="541">
        <v>30</v>
      </c>
      <c r="AB28" s="560" t="s">
        <v>483</v>
      </c>
      <c r="AC28" s="542" t="s">
        <v>490</v>
      </c>
      <c r="AD28" s="541" t="e">
        <f t="shared" si="1"/>
        <v>#VALUE!</v>
      </c>
      <c r="AE28" s="541">
        <f t="shared" si="2"/>
        <v>0</v>
      </c>
      <c r="AF28" s="543" t="str">
        <f t="shared" si="4"/>
        <v/>
      </c>
      <c r="AG28" s="544" t="str">
        <f t="shared" si="5"/>
        <v/>
      </c>
    </row>
    <row r="29" spans="2:33" s="1" customFormat="1" ht="15.95" customHeight="1" x14ac:dyDescent="0.15">
      <c r="K29" s="550"/>
      <c r="Z29" s="541">
        <f t="shared" si="0"/>
        <v>0</v>
      </c>
      <c r="AA29" s="541">
        <v>28</v>
      </c>
      <c r="AB29" s="560" t="s">
        <v>483</v>
      </c>
      <c r="AC29" s="542" t="s">
        <v>491</v>
      </c>
      <c r="AD29" s="541" t="e">
        <f t="shared" si="1"/>
        <v>#VALUE!</v>
      </c>
      <c r="AE29" s="541">
        <f t="shared" si="2"/>
        <v>0</v>
      </c>
      <c r="AF29" s="543" t="str">
        <f t="shared" si="4"/>
        <v/>
      </c>
      <c r="AG29" s="544" t="str">
        <f t="shared" si="5"/>
        <v/>
      </c>
    </row>
    <row r="30" spans="2:33" s="1" customFormat="1" ht="15.95" customHeight="1" x14ac:dyDescent="0.15">
      <c r="B30" s="538"/>
      <c r="E30" s="550"/>
      <c r="F30" s="567"/>
      <c r="G30" s="540"/>
      <c r="H30" s="567"/>
      <c r="I30" s="540"/>
      <c r="Z30" s="541">
        <f t="shared" si="0"/>
        <v>0</v>
      </c>
      <c r="AA30" s="541">
        <v>26</v>
      </c>
      <c r="AB30" s="560" t="s">
        <v>483</v>
      </c>
      <c r="AC30" s="542" t="s">
        <v>492</v>
      </c>
      <c r="AD30" s="541" t="e">
        <f t="shared" si="1"/>
        <v>#VALUE!</v>
      </c>
      <c r="AE30" s="541">
        <f t="shared" si="2"/>
        <v>0</v>
      </c>
      <c r="AF30" s="543" t="str">
        <f t="shared" si="4"/>
        <v/>
      </c>
      <c r="AG30" s="544" t="str">
        <f t="shared" si="5"/>
        <v/>
      </c>
    </row>
    <row r="31" spans="2:33" s="1" customFormat="1" ht="15.95" customHeight="1" x14ac:dyDescent="0.15">
      <c r="B31" s="2" t="s">
        <v>640</v>
      </c>
      <c r="C31" s="549"/>
      <c r="E31" s="551"/>
      <c r="Z31" s="541">
        <f t="shared" si="0"/>
        <v>0</v>
      </c>
      <c r="AA31" s="541">
        <v>24</v>
      </c>
      <c r="AB31" s="560" t="s">
        <v>483</v>
      </c>
      <c r="AC31" s="542" t="s">
        <v>493</v>
      </c>
      <c r="AD31" s="541" t="e">
        <f t="shared" si="1"/>
        <v>#VALUE!</v>
      </c>
      <c r="AE31" s="541">
        <f t="shared" si="2"/>
        <v>0</v>
      </c>
      <c r="AF31" s="543" t="str">
        <f t="shared" si="4"/>
        <v/>
      </c>
      <c r="AG31" s="544" t="str">
        <f t="shared" si="5"/>
        <v/>
      </c>
    </row>
    <row r="32" spans="2:33" s="1" customFormat="1" ht="15.95" customHeight="1" x14ac:dyDescent="0.15">
      <c r="E32" s="551"/>
      <c r="G32" s="586"/>
      <c r="Z32" s="541">
        <f t="shared" si="0"/>
        <v>0</v>
      </c>
      <c r="AA32" s="541">
        <v>38</v>
      </c>
      <c r="AB32" s="566" t="s">
        <v>494</v>
      </c>
      <c r="AC32" s="542" t="s">
        <v>495</v>
      </c>
      <c r="AD32" s="541" t="e">
        <f t="shared" si="1"/>
        <v>#VALUE!</v>
      </c>
      <c r="AE32" s="541">
        <f t="shared" si="2"/>
        <v>0</v>
      </c>
      <c r="AF32" s="543" t="str">
        <f t="shared" si="4"/>
        <v/>
      </c>
      <c r="AG32" s="544" t="str">
        <f t="shared" si="5"/>
        <v/>
      </c>
    </row>
    <row r="33" spans="1:33" s="1" customFormat="1" ht="15.95" customHeight="1" x14ac:dyDescent="0.15">
      <c r="E33" s="551"/>
      <c r="G33" s="587"/>
      <c r="Z33" s="541">
        <f t="shared" si="0"/>
        <v>0</v>
      </c>
      <c r="AA33" s="541">
        <v>36</v>
      </c>
      <c r="AB33" s="588" t="s">
        <v>496</v>
      </c>
      <c r="AC33" s="542" t="s">
        <v>497</v>
      </c>
      <c r="AD33" s="541" t="e">
        <f t="shared" si="1"/>
        <v>#VALUE!</v>
      </c>
      <c r="AE33" s="541">
        <f t="shared" si="2"/>
        <v>0</v>
      </c>
      <c r="AF33" s="543" t="str">
        <f t="shared" si="4"/>
        <v/>
      </c>
      <c r="AG33" s="544" t="str">
        <f t="shared" si="5"/>
        <v/>
      </c>
    </row>
    <row r="34" spans="1:33" s="1" customFormat="1" ht="15.95" customHeight="1" x14ac:dyDescent="0.15">
      <c r="E34" s="551"/>
      <c r="Z34" s="541">
        <f t="shared" si="0"/>
        <v>0</v>
      </c>
      <c r="AA34" s="541">
        <v>36</v>
      </c>
      <c r="AB34" s="566" t="s">
        <v>494</v>
      </c>
      <c r="AC34" s="542" t="s">
        <v>498</v>
      </c>
      <c r="AD34" s="541" t="e">
        <f t="shared" si="1"/>
        <v>#VALUE!</v>
      </c>
      <c r="AE34" s="541">
        <f t="shared" si="2"/>
        <v>0</v>
      </c>
      <c r="AF34" s="543" t="str">
        <f t="shared" si="4"/>
        <v/>
      </c>
      <c r="AG34" s="544" t="str">
        <f t="shared" si="5"/>
        <v/>
      </c>
    </row>
    <row r="35" spans="1:33" s="1" customFormat="1" ht="15.95" customHeight="1" x14ac:dyDescent="0.15">
      <c r="E35" s="551"/>
      <c r="Z35" s="541">
        <f t="shared" si="0"/>
        <v>0</v>
      </c>
      <c r="AA35" s="541">
        <v>34</v>
      </c>
      <c r="AB35" s="566" t="s">
        <v>494</v>
      </c>
      <c r="AC35" s="542" t="s">
        <v>499</v>
      </c>
      <c r="AD35" s="541" t="e">
        <f t="shared" si="1"/>
        <v>#VALUE!</v>
      </c>
      <c r="AE35" s="541">
        <f t="shared" si="2"/>
        <v>0</v>
      </c>
      <c r="AF35" s="543" t="str">
        <f t="shared" si="4"/>
        <v/>
      </c>
      <c r="AG35" s="544" t="str">
        <f t="shared" si="5"/>
        <v/>
      </c>
    </row>
    <row r="36" spans="1:33" s="1" customFormat="1" ht="15.95" customHeight="1" x14ac:dyDescent="0.15">
      <c r="E36" s="551"/>
      <c r="N36" s="549"/>
      <c r="O36" s="549"/>
      <c r="P36" s="549"/>
      <c r="Q36" s="549"/>
      <c r="R36" s="549"/>
      <c r="S36" s="549"/>
      <c r="T36" s="549"/>
      <c r="U36" s="549"/>
      <c r="Z36" s="541">
        <f t="shared" si="0"/>
        <v>0</v>
      </c>
      <c r="AA36" s="541">
        <v>32</v>
      </c>
      <c r="AB36" s="566" t="s">
        <v>494</v>
      </c>
      <c r="AC36" s="589" t="s">
        <v>500</v>
      </c>
      <c r="AD36" s="541" t="e">
        <f t="shared" si="1"/>
        <v>#VALUE!</v>
      </c>
      <c r="AE36" s="541">
        <f t="shared" si="2"/>
        <v>0</v>
      </c>
      <c r="AF36" s="543" t="str">
        <f>IF(OR(AE36=0,O10=3),"",AB36)</f>
        <v/>
      </c>
      <c r="AG36" s="544" t="str">
        <f>IF(OR(AE36=0,O10=3),"",IF(AE36=0,"",MID(AC36,AD36,4)))</f>
        <v/>
      </c>
    </row>
    <row r="37" spans="1:33" s="1" customFormat="1" ht="15.95" customHeight="1" x14ac:dyDescent="0.15">
      <c r="E37" s="551"/>
      <c r="Z37" s="541">
        <f t="shared" si="0"/>
        <v>0</v>
      </c>
      <c r="AA37" s="541">
        <v>30</v>
      </c>
      <c r="AB37" s="566" t="s">
        <v>494</v>
      </c>
      <c r="AC37" s="542" t="s">
        <v>501</v>
      </c>
      <c r="AD37" s="541" t="e">
        <f t="shared" si="1"/>
        <v>#VALUE!</v>
      </c>
      <c r="AE37" s="541">
        <f t="shared" si="2"/>
        <v>0</v>
      </c>
      <c r="AF37" s="543" t="str">
        <f t="shared" ref="AF37:AF49" si="7">IF(AE37=0,"",AB37)</f>
        <v/>
      </c>
      <c r="AG37" s="544" t="str">
        <f t="shared" ref="AG37:AG42" si="8">IF(AE37=0,"",MID(AC37,AD37,4))</f>
        <v/>
      </c>
    </row>
    <row r="38" spans="1:33" s="1" customFormat="1" ht="15.95" customHeight="1" x14ac:dyDescent="0.15">
      <c r="E38" s="551"/>
      <c r="Z38" s="541">
        <f t="shared" si="0"/>
        <v>0</v>
      </c>
      <c r="AA38" s="541">
        <v>28</v>
      </c>
      <c r="AB38" s="566" t="s">
        <v>494</v>
      </c>
      <c r="AC38" s="542" t="s">
        <v>504</v>
      </c>
      <c r="AD38" s="541" t="e">
        <f t="shared" si="1"/>
        <v>#VALUE!</v>
      </c>
      <c r="AE38" s="541">
        <f t="shared" si="2"/>
        <v>0</v>
      </c>
      <c r="AF38" s="543" t="str">
        <f t="shared" si="7"/>
        <v/>
      </c>
      <c r="AG38" s="544" t="str">
        <f t="shared" si="8"/>
        <v/>
      </c>
    </row>
    <row r="39" spans="1:33" s="1" customFormat="1" ht="15.95" customHeight="1" x14ac:dyDescent="0.15">
      <c r="E39" s="551"/>
      <c r="G39" s="590"/>
      <c r="Z39" s="541">
        <f t="shared" si="0"/>
        <v>0</v>
      </c>
      <c r="AA39" s="541">
        <v>26</v>
      </c>
      <c r="AB39" s="566" t="s">
        <v>494</v>
      </c>
      <c r="AC39" s="542" t="s">
        <v>509</v>
      </c>
      <c r="AD39" s="541" t="e">
        <f t="shared" si="1"/>
        <v>#VALUE!</v>
      </c>
      <c r="AE39" s="541">
        <f t="shared" si="2"/>
        <v>0</v>
      </c>
      <c r="AF39" s="543" t="str">
        <f t="shared" si="7"/>
        <v/>
      </c>
      <c r="AG39" s="544" t="str">
        <f t="shared" si="8"/>
        <v/>
      </c>
    </row>
    <row r="40" spans="1:33" s="1" customFormat="1" ht="15.95" customHeight="1" x14ac:dyDescent="0.15">
      <c r="E40" s="551"/>
      <c r="Z40" s="541">
        <f t="shared" si="0"/>
        <v>0</v>
      </c>
      <c r="AA40" s="541">
        <v>24</v>
      </c>
      <c r="AB40" s="566" t="s">
        <v>494</v>
      </c>
      <c r="AC40" s="542" t="s">
        <v>510</v>
      </c>
      <c r="AD40" s="541" t="e">
        <f t="shared" si="1"/>
        <v>#VALUE!</v>
      </c>
      <c r="AE40" s="541">
        <f t="shared" si="2"/>
        <v>0</v>
      </c>
      <c r="AF40" s="543" t="str">
        <f t="shared" si="7"/>
        <v/>
      </c>
      <c r="AG40" s="544" t="str">
        <f t="shared" si="8"/>
        <v/>
      </c>
    </row>
    <row r="41" spans="1:33" s="1" customFormat="1" ht="15.95" customHeight="1" x14ac:dyDescent="0.15">
      <c r="E41" s="551"/>
      <c r="Z41" s="541">
        <f t="shared" si="0"/>
        <v>0</v>
      </c>
      <c r="AA41" s="541">
        <v>32</v>
      </c>
      <c r="AB41" s="560" t="s">
        <v>513</v>
      </c>
      <c r="AC41" s="542" t="s">
        <v>514</v>
      </c>
      <c r="AD41" s="541" t="e">
        <f t="shared" si="1"/>
        <v>#VALUE!</v>
      </c>
      <c r="AE41" s="541">
        <f t="shared" si="2"/>
        <v>0</v>
      </c>
      <c r="AF41" s="543" t="str">
        <f t="shared" si="7"/>
        <v/>
      </c>
      <c r="AG41" s="544" t="str">
        <f t="shared" si="8"/>
        <v/>
      </c>
    </row>
    <row r="42" spans="1:33" s="1" customFormat="1" ht="15.95" customHeight="1" x14ac:dyDescent="0.15">
      <c r="E42" s="551"/>
      <c r="Z42" s="541">
        <f t="shared" si="0"/>
        <v>0</v>
      </c>
      <c r="AA42" s="541">
        <v>28</v>
      </c>
      <c r="AB42" s="560" t="s">
        <v>513</v>
      </c>
      <c r="AC42" s="542" t="s">
        <v>516</v>
      </c>
      <c r="AD42" s="541" t="e">
        <f t="shared" si="1"/>
        <v>#VALUE!</v>
      </c>
      <c r="AE42" s="541">
        <f t="shared" si="2"/>
        <v>0</v>
      </c>
      <c r="AF42" s="543" t="str">
        <f t="shared" si="7"/>
        <v/>
      </c>
      <c r="AG42" s="544" t="str">
        <f t="shared" si="8"/>
        <v/>
      </c>
    </row>
    <row r="43" spans="1:33" s="1" customFormat="1" ht="15.95" customHeight="1" x14ac:dyDescent="0.15">
      <c r="E43" s="551"/>
      <c r="Z43" s="541">
        <f t="shared" si="0"/>
        <v>0</v>
      </c>
      <c r="AA43" s="541">
        <v>26</v>
      </c>
      <c r="AB43" s="560" t="s">
        <v>513</v>
      </c>
      <c r="AC43" s="542" t="s">
        <v>518</v>
      </c>
      <c r="AD43" s="541" t="e">
        <f t="shared" si="1"/>
        <v>#VALUE!</v>
      </c>
      <c r="AE43" s="541">
        <f t="shared" si="2"/>
        <v>0</v>
      </c>
      <c r="AF43" s="543" t="str">
        <f t="shared" si="7"/>
        <v/>
      </c>
      <c r="AG43" s="544" t="str">
        <f>IF(AE43=0,"",MID(AC43,AD43,3))</f>
        <v/>
      </c>
    </row>
    <row r="44" spans="1:33" s="549" customFormat="1" ht="15.95" customHeight="1" x14ac:dyDescent="0.15">
      <c r="C44" s="591" t="s">
        <v>641</v>
      </c>
      <c r="E44" s="592"/>
      <c r="H44" s="755" t="s">
        <v>642</v>
      </c>
      <c r="I44" s="755"/>
      <c r="J44" s="755"/>
      <c r="K44" s="755"/>
      <c r="L44" s="755"/>
      <c r="R44" s="593" t="s">
        <v>502</v>
      </c>
      <c r="S44" s="594" t="s">
        <v>503</v>
      </c>
      <c r="Y44" s="1"/>
      <c r="Z44" s="541">
        <f t="shared" si="0"/>
        <v>0</v>
      </c>
      <c r="AA44" s="541">
        <v>24</v>
      </c>
      <c r="AB44" s="560" t="s">
        <v>513</v>
      </c>
      <c r="AC44" s="542" t="s">
        <v>522</v>
      </c>
      <c r="AD44" s="541" t="e">
        <f t="shared" si="1"/>
        <v>#VALUE!</v>
      </c>
      <c r="AE44" s="541">
        <f t="shared" si="2"/>
        <v>0</v>
      </c>
      <c r="AF44" s="543" t="str">
        <f t="shared" si="7"/>
        <v/>
      </c>
      <c r="AG44" s="544" t="str">
        <f t="shared" ref="AG44:AG49" si="9">IF(AE44=0,"",MID(AC44,AD44,4))</f>
        <v/>
      </c>
    </row>
    <row r="45" spans="1:33" s="549" customFormat="1" ht="15.95" customHeight="1" x14ac:dyDescent="0.15">
      <c r="E45" s="592"/>
      <c r="R45" s="593"/>
      <c r="S45" s="594"/>
      <c r="Y45" s="1"/>
      <c r="Z45" s="541">
        <f t="shared" si="0"/>
        <v>0</v>
      </c>
      <c r="AA45" s="541">
        <v>36</v>
      </c>
      <c r="AB45" s="566" t="s">
        <v>525</v>
      </c>
      <c r="AC45" s="542" t="s">
        <v>526</v>
      </c>
      <c r="AD45" s="541" t="e">
        <f t="shared" si="1"/>
        <v>#VALUE!</v>
      </c>
      <c r="AE45" s="541">
        <f t="shared" si="2"/>
        <v>0</v>
      </c>
      <c r="AF45" s="543" t="str">
        <f t="shared" si="7"/>
        <v/>
      </c>
      <c r="AG45" s="544" t="str">
        <f t="shared" si="9"/>
        <v/>
      </c>
    </row>
    <row r="46" spans="1:33" s="549" customFormat="1" ht="15.95" customHeight="1" x14ac:dyDescent="0.15">
      <c r="A46" s="547"/>
      <c r="B46" s="548" t="s">
        <v>41</v>
      </c>
      <c r="C46" s="547" t="s">
        <v>643</v>
      </c>
      <c r="D46" s="547"/>
      <c r="E46" s="547"/>
      <c r="F46" s="547"/>
      <c r="G46" s="547"/>
      <c r="H46" s="547"/>
      <c r="I46" s="547"/>
      <c r="J46" s="547"/>
      <c r="K46" s="547"/>
      <c r="L46" s="547"/>
      <c r="O46" s="595" t="s">
        <v>505</v>
      </c>
      <c r="P46" s="596" t="s">
        <v>506</v>
      </c>
      <c r="Q46" s="593" t="s">
        <v>8</v>
      </c>
      <c r="R46" s="593" t="s">
        <v>53</v>
      </c>
      <c r="S46" s="597" t="s">
        <v>53</v>
      </c>
      <c r="T46" s="597" t="s">
        <v>507</v>
      </c>
      <c r="U46" s="593" t="s">
        <v>508</v>
      </c>
      <c r="V46" s="1"/>
      <c r="W46" s="1"/>
      <c r="Y46" s="1"/>
      <c r="Z46" s="541">
        <f t="shared" si="0"/>
        <v>0</v>
      </c>
      <c r="AA46" s="541">
        <v>34</v>
      </c>
      <c r="AB46" s="566" t="s">
        <v>525</v>
      </c>
      <c r="AC46" s="542" t="s">
        <v>529</v>
      </c>
      <c r="AD46" s="541" t="e">
        <f t="shared" si="1"/>
        <v>#VALUE!</v>
      </c>
      <c r="AE46" s="541">
        <f t="shared" si="2"/>
        <v>0</v>
      </c>
      <c r="AF46" s="543" t="str">
        <f t="shared" si="7"/>
        <v/>
      </c>
      <c r="AG46" s="544" t="str">
        <f t="shared" si="9"/>
        <v/>
      </c>
    </row>
    <row r="47" spans="1:33" s="549" customFormat="1" ht="15.95" customHeight="1" x14ac:dyDescent="0.15">
      <c r="O47" s="598" t="s">
        <v>54</v>
      </c>
      <c r="P47" s="599">
        <v>0.22</v>
      </c>
      <c r="Q47" s="596">
        <v>0.33</v>
      </c>
      <c r="R47" s="600">
        <v>0.57999999999999996</v>
      </c>
      <c r="S47" s="601">
        <f>P47*$I$50^Q47</f>
        <v>0.47035165969049109</v>
      </c>
      <c r="T47" s="595">
        <v>20</v>
      </c>
      <c r="U47" s="602">
        <v>550</v>
      </c>
      <c r="V47" s="1"/>
      <c r="W47" s="1"/>
      <c r="Y47" s="1"/>
      <c r="Z47" s="541">
        <f t="shared" si="0"/>
        <v>0</v>
      </c>
      <c r="AA47" s="541">
        <v>32</v>
      </c>
      <c r="AB47" s="566" t="s">
        <v>525</v>
      </c>
      <c r="AC47" s="542" t="s">
        <v>532</v>
      </c>
      <c r="AD47" s="541" t="e">
        <f t="shared" si="1"/>
        <v>#VALUE!</v>
      </c>
      <c r="AE47" s="541">
        <f t="shared" si="2"/>
        <v>0</v>
      </c>
      <c r="AF47" s="543" t="str">
        <f t="shared" si="7"/>
        <v/>
      </c>
      <c r="AG47" s="544" t="str">
        <f t="shared" si="9"/>
        <v/>
      </c>
    </row>
    <row r="48" spans="1:33" s="549" customFormat="1" ht="15.95" customHeight="1" x14ac:dyDescent="0.25">
      <c r="C48" s="603" t="s">
        <v>42</v>
      </c>
      <c r="D48" s="550" t="s">
        <v>4</v>
      </c>
      <c r="E48" s="604">
        <f>VLOOKUP(F13,O47:P50,2)</f>
        <v>0.71</v>
      </c>
      <c r="F48" s="605" t="s">
        <v>511</v>
      </c>
      <c r="G48" s="606" t="s">
        <v>43</v>
      </c>
      <c r="H48" s="596" t="s">
        <v>4</v>
      </c>
      <c r="I48" s="607">
        <f>VLOOKUP($F$13,$O$47:$U$50,6)</f>
        <v>10</v>
      </c>
      <c r="J48" s="549" t="s">
        <v>512</v>
      </c>
      <c r="O48" s="598" t="s">
        <v>57</v>
      </c>
      <c r="P48" s="599">
        <v>0.45</v>
      </c>
      <c r="Q48" s="596">
        <v>0.22</v>
      </c>
      <c r="R48" s="600">
        <v>0.81</v>
      </c>
      <c r="S48" s="601">
        <f>P48*$I$50^Q48</f>
        <v>0.74681410834690232</v>
      </c>
      <c r="T48" s="595">
        <v>15</v>
      </c>
      <c r="U48" s="602">
        <v>450</v>
      </c>
      <c r="V48" s="1"/>
      <c r="W48" s="1"/>
      <c r="Y48" s="1"/>
      <c r="Z48" s="541">
        <f t="shared" si="0"/>
        <v>0</v>
      </c>
      <c r="AA48" s="541">
        <v>30</v>
      </c>
      <c r="AB48" s="566" t="s">
        <v>525</v>
      </c>
      <c r="AC48" s="542" t="s">
        <v>534</v>
      </c>
      <c r="AD48" s="541" t="e">
        <f t="shared" si="1"/>
        <v>#VALUE!</v>
      </c>
      <c r="AE48" s="541">
        <f t="shared" si="2"/>
        <v>0</v>
      </c>
      <c r="AF48" s="543" t="str">
        <f t="shared" si="7"/>
        <v/>
      </c>
      <c r="AG48" s="544" t="str">
        <f t="shared" si="9"/>
        <v/>
      </c>
    </row>
    <row r="49" spans="1:33" s="549" customFormat="1" ht="15.95" customHeight="1" x14ac:dyDescent="0.15">
      <c r="D49" s="550" t="s">
        <v>4</v>
      </c>
      <c r="E49" s="608">
        <f>IF(I48&gt;I50,N49,N50)</f>
        <v>1.0029016566821556</v>
      </c>
      <c r="G49" s="606" t="s">
        <v>45</v>
      </c>
      <c r="H49" s="596" t="s">
        <v>4</v>
      </c>
      <c r="I49" s="607">
        <f>VLOOKUP($F$13,$O$47:$U$50,7)</f>
        <v>350</v>
      </c>
      <c r="J49" s="549" t="s">
        <v>515</v>
      </c>
      <c r="N49" s="609">
        <f>VLOOKUP(F13,O47:U50,4)</f>
        <v>1</v>
      </c>
      <c r="O49" s="598" t="s">
        <v>58</v>
      </c>
      <c r="P49" s="599">
        <v>0.71</v>
      </c>
      <c r="Q49" s="596">
        <v>0.15</v>
      </c>
      <c r="R49" s="610">
        <v>1</v>
      </c>
      <c r="S49" s="601">
        <f>P49*$I$50^Q49</f>
        <v>1.0029016566821556</v>
      </c>
      <c r="T49" s="595">
        <v>10</v>
      </c>
      <c r="U49" s="602">
        <v>350</v>
      </c>
      <c r="V49" s="1"/>
      <c r="W49" s="1"/>
      <c r="Y49" s="1"/>
      <c r="Z49" s="541">
        <f t="shared" si="0"/>
        <v>0</v>
      </c>
      <c r="AA49" s="541">
        <v>28</v>
      </c>
      <c r="AB49" s="566" t="s">
        <v>525</v>
      </c>
      <c r="AC49" s="542" t="s">
        <v>535</v>
      </c>
      <c r="AD49" s="541" t="e">
        <f t="shared" si="1"/>
        <v>#VALUE!</v>
      </c>
      <c r="AE49" s="541">
        <f t="shared" si="2"/>
        <v>0</v>
      </c>
      <c r="AF49" s="543" t="str">
        <f t="shared" si="7"/>
        <v/>
      </c>
      <c r="AG49" s="544" t="str">
        <f t="shared" si="9"/>
        <v/>
      </c>
    </row>
    <row r="50" spans="1:33" s="549" customFormat="1" ht="15.95" customHeight="1" x14ac:dyDescent="0.15">
      <c r="C50" s="611"/>
      <c r="G50" s="606" t="s">
        <v>46</v>
      </c>
      <c r="H50" s="596" t="s">
        <v>4</v>
      </c>
      <c r="I50" s="607">
        <f>F10</f>
        <v>10</v>
      </c>
      <c r="J50" s="549" t="s">
        <v>517</v>
      </c>
      <c r="N50" s="609">
        <f>VLOOKUP(F13,O47:U50,5)</f>
        <v>1.0029016566821556</v>
      </c>
      <c r="O50" s="598" t="s">
        <v>59</v>
      </c>
      <c r="P50" s="612">
        <v>0.98</v>
      </c>
      <c r="Q50" s="613">
        <v>0.1</v>
      </c>
      <c r="R50" s="600">
        <v>1.1299999999999999</v>
      </c>
      <c r="S50" s="614">
        <f>P50*$I$50^Q50</f>
        <v>1.233746903558284</v>
      </c>
      <c r="T50" s="595">
        <v>5</v>
      </c>
      <c r="U50" s="596">
        <v>250</v>
      </c>
      <c r="V50" s="1"/>
      <c r="W50" s="1"/>
      <c r="Y50" s="1"/>
      <c r="Z50" s="541">
        <f t="shared" si="0"/>
        <v>0</v>
      </c>
      <c r="AA50" s="541">
        <v>26</v>
      </c>
      <c r="AB50" s="566" t="s">
        <v>525</v>
      </c>
      <c r="AC50" s="542" t="s">
        <v>536</v>
      </c>
      <c r="AD50" s="541" t="e">
        <f t="shared" si="1"/>
        <v>#VALUE!</v>
      </c>
      <c r="AE50" s="541">
        <f t="shared" si="2"/>
        <v>0</v>
      </c>
      <c r="AF50" s="543" t="str">
        <f>IF(OR(AE50=0,O10=1),"",AB50)</f>
        <v/>
      </c>
      <c r="AG50" s="544" t="str">
        <f>IF(OR(AE50=0,O10=1),"",IF(AE50=0,"",MID(AC50,AD50,4)))</f>
        <v/>
      </c>
    </row>
    <row r="51" spans="1:33" s="549" customFormat="1" ht="15.95" customHeight="1" x14ac:dyDescent="0.15">
      <c r="C51" s="615" t="s">
        <v>519</v>
      </c>
      <c r="D51" s="550" t="s">
        <v>4</v>
      </c>
      <c r="E51" s="585" t="s">
        <v>47</v>
      </c>
      <c r="G51" s="606" t="s">
        <v>8</v>
      </c>
      <c r="H51" s="596" t="s">
        <v>4</v>
      </c>
      <c r="I51" s="616">
        <f>VLOOKUP($F$13,$O$47:$U$50,3)</f>
        <v>0.15</v>
      </c>
      <c r="J51" s="549" t="s">
        <v>520</v>
      </c>
      <c r="O51" s="617"/>
      <c r="P51" s="617"/>
      <c r="Q51" s="617"/>
      <c r="R51" s="617"/>
      <c r="S51" s="617"/>
      <c r="T51" s="617"/>
      <c r="V51" s="1"/>
      <c r="W51" s="1"/>
      <c r="Y51" s="1"/>
      <c r="Z51" s="541">
        <f t="shared" si="0"/>
        <v>0</v>
      </c>
      <c r="AA51" s="541">
        <v>24</v>
      </c>
      <c r="AB51" s="566" t="s">
        <v>525</v>
      </c>
      <c r="AC51" s="542" t="s">
        <v>539</v>
      </c>
      <c r="AD51" s="541" t="e">
        <f t="shared" si="1"/>
        <v>#VALUE!</v>
      </c>
      <c r="AE51" s="541">
        <f t="shared" si="2"/>
        <v>0</v>
      </c>
      <c r="AF51" s="543" t="str">
        <f>IF(AE51=0,"",AB51)</f>
        <v/>
      </c>
      <c r="AG51" s="544" t="str">
        <f>IF(AE51=0,"",MID(AC51,AD51,4))</f>
        <v/>
      </c>
    </row>
    <row r="52" spans="1:33" s="549" customFormat="1" ht="15.95" customHeight="1" x14ac:dyDescent="0.15">
      <c r="C52" s="611"/>
      <c r="D52" s="550" t="s">
        <v>4</v>
      </c>
      <c r="E52" s="608">
        <f>F12*F14*F15*E49</f>
        <v>26.075443073736047</v>
      </c>
      <c r="F52" s="549" t="s">
        <v>26</v>
      </c>
      <c r="N52" s="559"/>
      <c r="O52" s="559"/>
      <c r="P52" s="559"/>
      <c r="R52" s="618"/>
      <c r="V52" s="1"/>
      <c r="W52" s="1"/>
      <c r="Y52" s="1"/>
      <c r="Z52" s="541">
        <f>ROUNDDOWN(COUNT(AD52),0)</f>
        <v>0</v>
      </c>
      <c r="AA52" s="541">
        <v>44</v>
      </c>
      <c r="AB52" s="541" t="s">
        <v>39</v>
      </c>
      <c r="AC52" s="542" t="s">
        <v>40</v>
      </c>
      <c r="AD52" s="541" t="e">
        <f t="shared" si="1"/>
        <v>#VALUE!</v>
      </c>
      <c r="AE52" s="541">
        <f t="shared" si="2"/>
        <v>0</v>
      </c>
      <c r="AF52" s="543" t="str">
        <f>IF(AE52=0,"",AB52)</f>
        <v/>
      </c>
      <c r="AG52" s="544" t="str">
        <f>IF(AE52=0,"",MID(AC52,AD52,4))</f>
        <v/>
      </c>
    </row>
    <row r="53" spans="1:33" s="549" customFormat="1" ht="15.95" customHeight="1" x14ac:dyDescent="0.15">
      <c r="C53" s="611"/>
      <c r="N53" s="559"/>
      <c r="O53" s="559"/>
      <c r="P53" s="559"/>
      <c r="R53" s="618"/>
      <c r="Y53" s="1"/>
      <c r="Z53" s="1"/>
      <c r="AA53" s="1"/>
      <c r="AB53" s="1"/>
      <c r="AC53" s="1"/>
      <c r="AD53" s="1"/>
      <c r="AE53" s="1"/>
      <c r="AF53" s="619" t="str">
        <f>AF3&amp;AF4&amp;AF5&amp;AF6&amp;AF7&amp;AF8&amp;AF9&amp;AF10&amp;AF11&amp;AF12&amp;AF13&amp;AF14&amp;AF15&amp;AF16&amp;AF17&amp;AF18&amp;AF19&amp;AF20&amp;AF21&amp;AF22&amp;AF23&amp;AF24&amp;AF25&amp;AF26&amp;AF27&amp;AF28&amp;AF29&amp;AF30&amp;AF31&amp;AF32&amp;AF33&amp;AF34&amp;AF35&amp;AF36&amp;AF37&amp;AF38&amp;AF39&amp;AF40&amp;AF41&amp;AF42&amp;AF43&amp;AF44&amp;AF45&amp;AF46&amp;AF47&amp;AF48&amp;AF49&amp;AF50&amp;AF51&amp;AF52</f>
        <v>경기도</v>
      </c>
      <c r="AG53" s="619" t="str">
        <f>AG3&amp;AG4&amp;AG5&amp;AG6&amp;AG7&amp;AG8&amp;AG9&amp;AG10&amp;AG11&amp;AG12&amp;AG13&amp;AG14&amp;AG15&amp;AG16&amp;AG17&amp;AG18&amp;AG19&amp;AG20&amp;AG21&amp;AG22&amp;AG23&amp;AG24&amp;AG25&amp;AG26&amp;AG27&amp;AG28&amp;AG29&amp;AG30&amp;AG31&amp;AG32&amp;AG33&amp;AG34&amp;AG35&amp;AG36&amp;AG37&amp;AG38&amp;AG39&amp;AG40&amp;AG41&amp;AG42&amp;AG43&amp;AG44&amp;AG45&amp;AG46&amp;AG47&amp;AG48&amp;AG49&amp;AG50&amp;AG51&amp;AG52</f>
        <v xml:space="preserve">서울시 </v>
      </c>
    </row>
    <row r="54" spans="1:33" s="549" customFormat="1" ht="15.95" customHeight="1" x14ac:dyDescent="0.15">
      <c r="C54" s="611"/>
      <c r="N54" s="559"/>
      <c r="O54" s="559"/>
      <c r="P54" s="559"/>
      <c r="R54" s="620"/>
      <c r="Y54" s="1"/>
    </row>
    <row r="55" spans="1:33" s="549" customFormat="1" ht="15.95" customHeight="1" x14ac:dyDescent="0.15">
      <c r="B55" s="548" t="s">
        <v>48</v>
      </c>
      <c r="C55" s="547" t="s">
        <v>644</v>
      </c>
      <c r="N55" s="559"/>
      <c r="O55" s="559"/>
      <c r="P55" s="559"/>
      <c r="Y55" s="1"/>
    </row>
    <row r="56" spans="1:33" s="549" customFormat="1" ht="15.95" customHeight="1" x14ac:dyDescent="0.15">
      <c r="M56" s="621"/>
    </row>
    <row r="57" spans="1:33" s="549" customFormat="1" ht="15.95" customHeight="1" x14ac:dyDescent="0.15">
      <c r="C57" s="622" t="s">
        <v>537</v>
      </c>
      <c r="D57" s="550" t="s">
        <v>4</v>
      </c>
      <c r="E57" s="583" t="s">
        <v>538</v>
      </c>
    </row>
    <row r="58" spans="1:33" s="547" customFormat="1" ht="15.95" customHeight="1" x14ac:dyDescent="0.15">
      <c r="A58" s="549"/>
      <c r="B58" s="549"/>
      <c r="C58" s="623"/>
      <c r="D58" s="550" t="s">
        <v>4</v>
      </c>
      <c r="E58" s="624">
        <f>0.5*(E59)*E52^2</f>
        <v>414.75652620990599</v>
      </c>
      <c r="F58" s="549" t="s">
        <v>645</v>
      </c>
      <c r="G58" s="549"/>
      <c r="H58" s="549"/>
      <c r="I58" s="549"/>
      <c r="J58" s="549"/>
      <c r="K58" s="549"/>
      <c r="L58" s="549"/>
      <c r="X58" s="549"/>
      <c r="Y58" s="549"/>
    </row>
    <row r="59" spans="1:33" s="549" customFormat="1" ht="15.95" customHeight="1" x14ac:dyDescent="0.15">
      <c r="C59" s="583" t="s">
        <v>49</v>
      </c>
      <c r="D59" s="596" t="s">
        <v>4</v>
      </c>
      <c r="E59" s="616">
        <v>1.22</v>
      </c>
      <c r="F59" s="549" t="s">
        <v>50</v>
      </c>
    </row>
    <row r="60" spans="1:33" s="549" customFormat="1" ht="15.95" customHeight="1" x14ac:dyDescent="0.15">
      <c r="H60" s="585"/>
    </row>
    <row r="61" spans="1:33" s="549" customFormat="1" ht="15.95" customHeight="1" x14ac:dyDescent="0.15">
      <c r="N61" s="549" t="s">
        <v>62</v>
      </c>
    </row>
    <row r="62" spans="1:33" s="549" customFormat="1" ht="15.95" customHeight="1" x14ac:dyDescent="0.15">
      <c r="B62" s="548"/>
      <c r="C62" s="625"/>
      <c r="M62" s="547"/>
      <c r="N62" s="549" t="s">
        <v>540</v>
      </c>
    </row>
    <row r="63" spans="1:33" s="549" customFormat="1" ht="15.95" customHeight="1" x14ac:dyDescent="0.15">
      <c r="A63" s="625"/>
      <c r="C63" s="583"/>
      <c r="D63" s="550"/>
      <c r="E63" s="626"/>
      <c r="F63" s="625"/>
      <c r="G63" s="625"/>
      <c r="H63" s="625"/>
      <c r="I63" s="625"/>
      <c r="J63" s="625"/>
    </row>
    <row r="64" spans="1:33" s="549" customFormat="1" ht="15.95" customHeight="1" x14ac:dyDescent="0.15">
      <c r="X64" s="625"/>
      <c r="Y64" s="625"/>
    </row>
    <row r="65" spans="1:25" s="549" customFormat="1" ht="15.95" customHeight="1" x14ac:dyDescent="0.15">
      <c r="N65" s="617" t="s">
        <v>542</v>
      </c>
      <c r="O65" s="617"/>
      <c r="P65" s="617"/>
      <c r="Q65" s="617"/>
    </row>
    <row r="66" spans="1:25" s="549" customFormat="1" ht="15.95" customHeight="1" x14ac:dyDescent="0.15">
      <c r="N66" s="617"/>
      <c r="O66" s="617"/>
      <c r="P66" s="617"/>
      <c r="Q66" s="617"/>
    </row>
    <row r="67" spans="1:25" s="549" customFormat="1" ht="15.95" customHeight="1" x14ac:dyDescent="0.15">
      <c r="N67" s="617" t="s">
        <v>543</v>
      </c>
      <c r="O67" s="617"/>
      <c r="P67" s="617"/>
      <c r="Q67" s="617"/>
      <c r="S67" s="617" t="s">
        <v>544</v>
      </c>
      <c r="T67" s="617"/>
      <c r="U67" s="617"/>
      <c r="V67" s="617"/>
    </row>
    <row r="68" spans="1:25" s="549" customFormat="1" ht="15.95" customHeight="1" x14ac:dyDescent="0.15">
      <c r="N68" s="617" t="s">
        <v>77</v>
      </c>
      <c r="O68" s="611" t="s">
        <v>545</v>
      </c>
      <c r="P68" s="627">
        <f>F16*H16/10^6</f>
        <v>3.9</v>
      </c>
      <c r="Q68" s="628" t="s">
        <v>546</v>
      </c>
      <c r="S68" s="617" t="s">
        <v>77</v>
      </c>
      <c r="T68" s="611" t="s">
        <v>545</v>
      </c>
      <c r="U68" s="627">
        <f>P68</f>
        <v>3.9</v>
      </c>
      <c r="V68" s="628" t="s">
        <v>546</v>
      </c>
    </row>
    <row r="69" spans="1:25" s="549" customFormat="1" ht="15.95" customHeight="1" x14ac:dyDescent="0.15">
      <c r="N69" s="617" t="s">
        <v>78</v>
      </c>
      <c r="O69" s="629" t="s">
        <v>547</v>
      </c>
      <c r="P69" s="616">
        <v>1.8</v>
      </c>
      <c r="Q69" s="630" t="str">
        <f>IF(P68&lt;=2,"  ← Governs","")</f>
        <v/>
      </c>
      <c r="S69" s="617" t="s">
        <v>78</v>
      </c>
      <c r="T69" s="617" t="s">
        <v>548</v>
      </c>
      <c r="U69" s="616">
        <v>2</v>
      </c>
      <c r="V69" s="630" t="str">
        <f>IF(U68&lt;=1,"  ← Governs","")</f>
        <v/>
      </c>
    </row>
    <row r="70" spans="1:25" s="549" customFormat="1" ht="15.95" customHeight="1" x14ac:dyDescent="0.15">
      <c r="N70" s="617"/>
      <c r="O70" s="629" t="s">
        <v>549</v>
      </c>
      <c r="P70" s="616">
        <f>1.93-0.43*LOG(P68)</f>
        <v>1.6758422189786053</v>
      </c>
      <c r="Q70" s="630" t="str">
        <f>IF((2&lt;+P68)*AND(P68&lt;=50),"  ← Governs","")</f>
        <v xml:space="preserve">  ← Governs</v>
      </c>
      <c r="S70" s="617"/>
      <c r="T70" s="617" t="s">
        <v>82</v>
      </c>
      <c r="U70" s="616">
        <f>2-0.353*LOG(U68)</f>
        <v>1.7913541937196458</v>
      </c>
      <c r="V70" s="630" t="str">
        <f>IF((1&lt;+U68)*AND(U68&lt;=50),"  ← Governs","")</f>
        <v xml:space="preserve">  ← Governs</v>
      </c>
    </row>
    <row r="71" spans="1:25" s="549" customFormat="1" ht="15.95" customHeight="1" x14ac:dyDescent="0.15">
      <c r="N71" s="617"/>
      <c r="O71" s="617" t="s">
        <v>550</v>
      </c>
      <c r="P71" s="616">
        <v>1.2</v>
      </c>
      <c r="Q71" s="630" t="str">
        <f>IF(P68&gt;50,"  ← Governs","")</f>
        <v/>
      </c>
      <c r="S71" s="617"/>
      <c r="T71" s="617" t="s">
        <v>550</v>
      </c>
      <c r="U71" s="616">
        <v>1.4</v>
      </c>
      <c r="V71" s="630" t="str">
        <f>IF(U68&gt;50,"  ← Governs","")</f>
        <v/>
      </c>
    </row>
    <row r="72" spans="1:25" s="549" customFormat="1" ht="15.95" customHeight="1" x14ac:dyDescent="0.15">
      <c r="N72" s="617"/>
      <c r="O72" s="606" t="s">
        <v>552</v>
      </c>
      <c r="P72" s="631">
        <f>IF(P68&lt;=2,P69,IF(P68&gt;50,P71,P70))</f>
        <v>1.6758422189786053</v>
      </c>
      <c r="Q72" s="617"/>
      <c r="S72" s="617"/>
      <c r="T72" s="606" t="s">
        <v>552</v>
      </c>
      <c r="U72" s="631">
        <f>IF(U68&lt;=1,U69,IF(U68&gt;50,U71,U70))</f>
        <v>1.7913541937196458</v>
      </c>
      <c r="V72" s="617"/>
    </row>
    <row r="73" spans="1:25" s="625" customFormat="1" ht="15.95" customHeight="1" x14ac:dyDescent="0.15">
      <c r="A73" s="549"/>
      <c r="B73" s="549"/>
      <c r="C73" s="549"/>
      <c r="D73" s="549"/>
      <c r="E73" s="549"/>
      <c r="F73" s="549"/>
      <c r="G73" s="549"/>
      <c r="H73" s="549"/>
      <c r="I73" s="549"/>
      <c r="J73" s="549"/>
      <c r="K73" s="549"/>
      <c r="L73" s="549"/>
      <c r="M73" s="549"/>
      <c r="R73" s="549"/>
      <c r="V73" s="549"/>
      <c r="W73" s="549"/>
      <c r="X73" s="549"/>
      <c r="Y73" s="549"/>
    </row>
    <row r="74" spans="1:25" s="549" customFormat="1" ht="15.95" customHeight="1" x14ac:dyDescent="0.15">
      <c r="N74" s="617" t="s">
        <v>553</v>
      </c>
      <c r="O74" s="617"/>
      <c r="P74" s="617"/>
      <c r="Q74" s="617"/>
      <c r="S74" s="617" t="s">
        <v>554</v>
      </c>
      <c r="T74" s="617"/>
      <c r="U74" s="617"/>
      <c r="V74" s="617"/>
    </row>
    <row r="75" spans="1:25" s="549" customFormat="1" ht="15.95" customHeight="1" x14ac:dyDescent="0.15">
      <c r="N75" s="617" t="s">
        <v>77</v>
      </c>
      <c r="O75" s="611" t="s">
        <v>545</v>
      </c>
      <c r="P75" s="627">
        <f>P68</f>
        <v>3.9</v>
      </c>
      <c r="Q75" s="628" t="s">
        <v>546</v>
      </c>
      <c r="S75" s="617" t="s">
        <v>77</v>
      </c>
      <c r="T75" s="611" t="s">
        <v>545</v>
      </c>
      <c r="U75" s="627">
        <f>P68</f>
        <v>3.9</v>
      </c>
      <c r="V75" s="628" t="s">
        <v>546</v>
      </c>
    </row>
    <row r="76" spans="1:25" s="549" customFormat="1" ht="15.95" customHeight="1" x14ac:dyDescent="0.15">
      <c r="N76" s="617" t="s">
        <v>78</v>
      </c>
      <c r="O76" s="629" t="s">
        <v>547</v>
      </c>
      <c r="P76" s="616">
        <v>-1.8</v>
      </c>
      <c r="Q76" s="630" t="str">
        <f>IF(P75&lt;=2,"  ← Governs","")</f>
        <v/>
      </c>
      <c r="S76" s="617" t="s">
        <v>78</v>
      </c>
      <c r="T76" s="617" t="s">
        <v>79</v>
      </c>
      <c r="U76" s="632">
        <v>-2.2000000000000002</v>
      </c>
      <c r="V76" s="630" t="str">
        <f>IF(U75&lt;=1," ← Governs","")</f>
        <v/>
      </c>
    </row>
    <row r="77" spans="1:25" s="549" customFormat="1" ht="15.95" customHeight="1" x14ac:dyDescent="0.15">
      <c r="N77" s="617"/>
      <c r="O77" s="629" t="s">
        <v>549</v>
      </c>
      <c r="P77" s="616">
        <f>-1.89+0.29*LOG(P75)</f>
        <v>-1.7185912639623151</v>
      </c>
      <c r="Q77" s="630" t="str">
        <f>IF((2&lt;+P75)*AND(P75&lt;=50),"  ← Governs","")</f>
        <v xml:space="preserve">  ← Governs</v>
      </c>
      <c r="S77" s="617"/>
      <c r="T77" s="617" t="s">
        <v>82</v>
      </c>
      <c r="U77" s="632">
        <f>-2.2+0.353*LOG(U75)</f>
        <v>-1.9913541937196459</v>
      </c>
      <c r="V77" s="633" t="str">
        <f>IF((1&lt;+U75)*AND(U75&lt;=50),"&lt;--GOVERNS","")</f>
        <v>&lt;--GOVERNS</v>
      </c>
    </row>
    <row r="78" spans="1:25" s="549" customFormat="1" ht="15.95" customHeight="1" x14ac:dyDescent="0.15">
      <c r="N78" s="617"/>
      <c r="O78" s="617" t="s">
        <v>550</v>
      </c>
      <c r="P78" s="616">
        <v>-1.4</v>
      </c>
      <c r="Q78" s="630" t="str">
        <f>IF(P75&gt;50,"  ← Governs","")</f>
        <v/>
      </c>
      <c r="S78" s="617"/>
      <c r="T78" s="617" t="s">
        <v>83</v>
      </c>
      <c r="U78" s="632">
        <v>-1.6</v>
      </c>
      <c r="V78" s="633" t="str">
        <f>IF(U75&gt;50,"&lt;--GOVERNS","")</f>
        <v/>
      </c>
    </row>
    <row r="79" spans="1:25" s="549" customFormat="1" ht="15.95" customHeight="1" x14ac:dyDescent="0.15">
      <c r="N79" s="617"/>
      <c r="O79" s="606" t="s">
        <v>552</v>
      </c>
      <c r="P79" s="631">
        <f>IF(P75&lt;=2,P76,IF(P75&gt;50,P78,P77))</f>
        <v>-1.7185912639623151</v>
      </c>
      <c r="Q79" s="617"/>
      <c r="S79" s="617"/>
      <c r="T79" s="606" t="s">
        <v>552</v>
      </c>
      <c r="U79" s="631">
        <f>IF(U75&lt;=1,U76,IF(U75&gt;50,U78,U77))</f>
        <v>-1.9913541937196459</v>
      </c>
      <c r="V79" s="617"/>
    </row>
    <row r="80" spans="1:25" s="549" customFormat="1" ht="15.95" customHeight="1" x14ac:dyDescent="0.15"/>
    <row r="81" spans="1:22" s="549" customFormat="1" ht="15.95" customHeight="1" x14ac:dyDescent="0.15">
      <c r="B81" s="548"/>
      <c r="C81" s="625"/>
      <c r="N81" s="617" t="s">
        <v>555</v>
      </c>
      <c r="O81" s="617"/>
      <c r="P81" s="617"/>
      <c r="Q81" s="617"/>
      <c r="S81" s="617" t="s">
        <v>556</v>
      </c>
      <c r="T81" s="617"/>
      <c r="U81" s="617"/>
      <c r="V81" s="617"/>
    </row>
    <row r="82" spans="1:22" s="549" customFormat="1" ht="15.95" customHeight="1" x14ac:dyDescent="0.15">
      <c r="A82" s="625"/>
      <c r="D82" s="625"/>
      <c r="E82" s="625"/>
      <c r="N82" s="617" t="s">
        <v>77</v>
      </c>
      <c r="O82" s="611" t="s">
        <v>545</v>
      </c>
      <c r="P82" s="627">
        <f>P68</f>
        <v>3.9</v>
      </c>
      <c r="Q82" s="628" t="s">
        <v>546</v>
      </c>
      <c r="S82" s="617" t="s">
        <v>77</v>
      </c>
      <c r="T82" s="611" t="s">
        <v>545</v>
      </c>
      <c r="U82" s="627">
        <f>P68</f>
        <v>3.9</v>
      </c>
      <c r="V82" s="628" t="s">
        <v>546</v>
      </c>
    </row>
    <row r="83" spans="1:22" s="549" customFormat="1" ht="15.95" customHeight="1" x14ac:dyDescent="0.15">
      <c r="N83" s="617" t="s">
        <v>78</v>
      </c>
      <c r="O83" s="629" t="s">
        <v>547</v>
      </c>
      <c r="P83" s="616">
        <v>-3.6</v>
      </c>
      <c r="Q83" s="630" t="str">
        <f>IF(P82&lt;=2,"  ← Governs","")</f>
        <v/>
      </c>
      <c r="S83" s="617" t="s">
        <v>78</v>
      </c>
      <c r="T83" s="617" t="s">
        <v>79</v>
      </c>
      <c r="U83" s="632">
        <v>-2.8</v>
      </c>
      <c r="V83" s="630" t="str">
        <f>IF(U82&lt;=1," ← Governs","")</f>
        <v/>
      </c>
    </row>
    <row r="84" spans="1:22" s="549" customFormat="1" ht="15.95" customHeight="1" x14ac:dyDescent="0.15">
      <c r="N84" s="617"/>
      <c r="O84" s="629" t="s">
        <v>549</v>
      </c>
      <c r="P84" s="616">
        <f>-3.94+1.14*LOG(P82)</f>
        <v>-3.266186347989791</v>
      </c>
      <c r="Q84" s="630" t="str">
        <f>IF((2&lt;+P82)*AND(P82&lt;=50),"  ← Governs","")</f>
        <v xml:space="preserve">  ← Governs</v>
      </c>
      <c r="S84" s="617"/>
      <c r="T84" s="617" t="s">
        <v>82</v>
      </c>
      <c r="U84" s="632">
        <f>-2.8+0.706*LOG(U82)</f>
        <v>-2.3827083874392914</v>
      </c>
      <c r="V84" s="633" t="str">
        <f>IF((1&lt;+U82)*AND(U82&lt;=50),"&lt;--GOVERNS","")</f>
        <v>&lt;--GOVERNS</v>
      </c>
    </row>
    <row r="85" spans="1:22" s="549" customFormat="1" ht="15.95" customHeight="1" x14ac:dyDescent="0.15">
      <c r="N85" s="617"/>
      <c r="O85" s="617" t="s">
        <v>550</v>
      </c>
      <c r="P85" s="616">
        <v>-2</v>
      </c>
      <c r="Q85" s="630" t="str">
        <f>IF(P82&gt;50,"  ← Governs","")</f>
        <v/>
      </c>
      <c r="S85" s="617"/>
      <c r="T85" s="617" t="s">
        <v>83</v>
      </c>
      <c r="U85" s="632">
        <v>-1.6</v>
      </c>
      <c r="V85" s="633" t="str">
        <f>IF(U82&gt;50,"&lt;--GOVERNS","")</f>
        <v/>
      </c>
    </row>
    <row r="86" spans="1:22" s="549" customFormat="1" ht="15.95" customHeight="1" x14ac:dyDescent="0.15">
      <c r="N86" s="617"/>
      <c r="O86" s="606" t="s">
        <v>552</v>
      </c>
      <c r="P86" s="631">
        <f>IF(P82&lt;=2,P83,IF(P82&gt;50,P85,P84))</f>
        <v>-3.266186347989791</v>
      </c>
      <c r="Q86" s="617"/>
      <c r="S86" s="617"/>
      <c r="T86" s="606" t="s">
        <v>552</v>
      </c>
      <c r="U86" s="631">
        <f>IF(U82&lt;=1,U83,IF(U82&gt;50,U85,U84))</f>
        <v>-2.3827083874392914</v>
      </c>
      <c r="V86" s="617"/>
    </row>
    <row r="87" spans="1:22" s="549" customFormat="1" ht="15.95" customHeight="1" x14ac:dyDescent="0.15"/>
    <row r="88" spans="1:22" s="549" customFormat="1" ht="15.95" customHeight="1" x14ac:dyDescent="0.15">
      <c r="B88" s="634"/>
    </row>
    <row r="89" spans="1:22" s="549" customFormat="1" ht="15.95" customHeight="1" x14ac:dyDescent="0.15"/>
    <row r="90" spans="1:22" s="549" customFormat="1" ht="15.95" customHeight="1" x14ac:dyDescent="0.15">
      <c r="G90" s="585"/>
    </row>
    <row r="91" spans="1:22" s="549" customFormat="1" ht="15.95" customHeight="1" x14ac:dyDescent="0.15">
      <c r="G91" s="585"/>
    </row>
    <row r="92" spans="1:22" s="549" customFormat="1" ht="15.95" customHeight="1" x14ac:dyDescent="0.15"/>
    <row r="93" spans="1:22" s="549" customFormat="1" ht="15.95" customHeight="1" x14ac:dyDescent="0.15"/>
    <row r="94" spans="1:22" s="549" customFormat="1" ht="15.95" customHeight="1" x14ac:dyDescent="0.15"/>
    <row r="95" spans="1:22" s="549" customFormat="1" ht="15.95" customHeight="1" x14ac:dyDescent="0.15">
      <c r="T95" s="549" t="s">
        <v>63</v>
      </c>
    </row>
    <row r="96" spans="1:22" s="549" customFormat="1" ht="15.95" customHeight="1" x14ac:dyDescent="0.15"/>
    <row r="97" spans="14:25" s="549" customFormat="1" ht="15.95" customHeight="1" x14ac:dyDescent="0.15">
      <c r="T97" s="549" t="s">
        <v>64</v>
      </c>
    </row>
    <row r="98" spans="14:25" s="549" customFormat="1" ht="15.95" customHeight="1" x14ac:dyDescent="0.15"/>
    <row r="99" spans="14:25" s="549" customFormat="1" ht="15.95" customHeight="1" x14ac:dyDescent="0.15">
      <c r="S99" s="611" t="s">
        <v>65</v>
      </c>
      <c r="T99" s="635" t="s">
        <v>66</v>
      </c>
      <c r="Y99" s="636">
        <v>0.7</v>
      </c>
    </row>
    <row r="100" spans="14:25" s="549" customFormat="1" ht="15.95" customHeight="1" x14ac:dyDescent="0.15">
      <c r="S100" s="595" t="s">
        <v>65</v>
      </c>
      <c r="T100" s="549" t="s">
        <v>67</v>
      </c>
      <c r="Y100" s="636">
        <v>0</v>
      </c>
    </row>
    <row r="101" spans="14:25" s="549" customFormat="1" ht="15.95" customHeight="1" x14ac:dyDescent="0.15">
      <c r="S101" s="595" t="s">
        <v>65</v>
      </c>
      <c r="T101" s="549" t="s">
        <v>68</v>
      </c>
      <c r="Y101" s="636">
        <v>1000</v>
      </c>
    </row>
    <row r="102" spans="14:25" s="549" customFormat="1" ht="15.95" customHeight="1" x14ac:dyDescent="0.15">
      <c r="N102" s="617"/>
      <c r="O102" s="617"/>
      <c r="P102" s="617"/>
      <c r="Q102" s="617"/>
      <c r="S102" s="595" t="s">
        <v>65</v>
      </c>
      <c r="T102" s="635" t="s">
        <v>69</v>
      </c>
      <c r="Y102" s="636">
        <v>2500</v>
      </c>
    </row>
    <row r="103" spans="14:25" s="549" customFormat="1" ht="15.95" customHeight="1" x14ac:dyDescent="0.15"/>
    <row r="104" spans="14:25" s="549" customFormat="1" ht="15.95" customHeight="1" x14ac:dyDescent="0.15">
      <c r="T104" s="637" t="s">
        <v>70</v>
      </c>
      <c r="U104" s="637" t="s">
        <v>71</v>
      </c>
      <c r="V104" s="637" t="s">
        <v>72</v>
      </c>
    </row>
    <row r="105" spans="14:25" s="549" customFormat="1" ht="15.95" customHeight="1" x14ac:dyDescent="0.15">
      <c r="T105" s="638">
        <v>2</v>
      </c>
      <c r="U105" s="637">
        <v>1</v>
      </c>
      <c r="V105" s="637">
        <v>2</v>
      </c>
    </row>
    <row r="106" spans="14:25" s="549" customFormat="1" ht="15.95" customHeight="1" x14ac:dyDescent="0.15"/>
    <row r="107" spans="14:25" s="549" customFormat="1" ht="15.95" customHeight="1" x14ac:dyDescent="0.15">
      <c r="T107" s="639" t="s">
        <v>73</v>
      </c>
      <c r="U107" s="639" t="s">
        <v>74</v>
      </c>
      <c r="V107" s="640" t="s">
        <v>75</v>
      </c>
    </row>
    <row r="108" spans="14:25" s="549" customFormat="1" ht="15.95" customHeight="1" x14ac:dyDescent="0.15">
      <c r="T108" s="641">
        <v>1</v>
      </c>
      <c r="U108" s="642">
        <v>1</v>
      </c>
      <c r="V108" s="643">
        <v>2</v>
      </c>
    </row>
    <row r="109" spans="14:25" s="549" customFormat="1" ht="15.95" customHeight="1" x14ac:dyDescent="0.15">
      <c r="N109" s="644"/>
      <c r="O109" s="644"/>
      <c r="P109" s="644"/>
      <c r="Q109" s="644"/>
    </row>
    <row r="110" spans="14:25" s="549" customFormat="1" ht="15.95" customHeight="1" x14ac:dyDescent="0.15">
      <c r="T110" s="617" t="s">
        <v>76</v>
      </c>
      <c r="U110" s="617"/>
    </row>
    <row r="111" spans="14:25" s="549" customFormat="1" ht="15.95" customHeight="1" x14ac:dyDescent="0.2">
      <c r="S111" s="617"/>
      <c r="T111" s="635" t="s">
        <v>80</v>
      </c>
      <c r="U111" s="635" t="s">
        <v>81</v>
      </c>
    </row>
    <row r="112" spans="14:25" s="549" customFormat="1" ht="15.95" customHeight="1" x14ac:dyDescent="0.15">
      <c r="S112" s="617"/>
      <c r="T112" s="617" t="s">
        <v>84</v>
      </c>
      <c r="U112" s="645">
        <f>1+(IF(T105=1,U114,U115)*U116*U119/(1+3.7*U121))</f>
        <v>1.6373465091635866</v>
      </c>
    </row>
    <row r="113" spans="19:22" s="549" customFormat="1" ht="15.95" customHeight="1" x14ac:dyDescent="0.15">
      <c r="S113" s="646" t="s">
        <v>85</v>
      </c>
      <c r="U113" s="617"/>
    </row>
    <row r="114" spans="19:22" s="549" customFormat="1" ht="15.95" customHeight="1" x14ac:dyDescent="0.2">
      <c r="T114" s="635" t="s">
        <v>86</v>
      </c>
      <c r="U114" s="647">
        <v>1.4</v>
      </c>
      <c r="V114" s="635"/>
    </row>
    <row r="115" spans="19:22" s="549" customFormat="1" ht="15.95" customHeight="1" x14ac:dyDescent="0.2">
      <c r="T115" s="635"/>
      <c r="U115" s="647">
        <f>IF(3.2&lt;(1.4+3.6*(Y99-0.05)),(1.4+3.6*(Y99-0.05)),3.2)</f>
        <v>3.7399999999999998</v>
      </c>
      <c r="V115" s="635" t="s">
        <v>87</v>
      </c>
    </row>
    <row r="116" spans="19:22" s="549" customFormat="1" ht="15.95" customHeight="1" x14ac:dyDescent="0.15">
      <c r="T116" s="635" t="s">
        <v>88</v>
      </c>
      <c r="U116" s="635">
        <f>IF(U120&gt;0.3,(1-(ABS(Y100)/(1.5*(U118))))*(1-(0.6*U123/Y101)),(1-(ABS(Y100)/(1.5*U118)))*(1-(U123/Y102)))</f>
        <v>0.996</v>
      </c>
      <c r="V116" s="635" t="s">
        <v>89</v>
      </c>
    </row>
    <row r="117" spans="19:22" s="549" customFormat="1" ht="15.95" customHeight="1" x14ac:dyDescent="0.2">
      <c r="T117" s="635"/>
      <c r="U117" s="635"/>
      <c r="V117" s="635" t="s">
        <v>90</v>
      </c>
    </row>
    <row r="118" spans="19:22" s="549" customFormat="1" ht="15.95" customHeight="1" x14ac:dyDescent="0.15">
      <c r="S118" s="595"/>
      <c r="T118" s="549" t="s">
        <v>91</v>
      </c>
      <c r="U118" s="549">
        <f>IF(T108=1,IF(U120&gt;0.3,1.7*Y101,Y102),IF(T105=1,MAX(2*Y102,3.33*Y101),MAX(Y102,1.7*Y101)))</f>
        <v>2500</v>
      </c>
    </row>
    <row r="119" spans="19:22" s="549" customFormat="1" ht="15.95" customHeight="1" x14ac:dyDescent="0.15">
      <c r="T119" s="635" t="s">
        <v>92</v>
      </c>
      <c r="U119" s="549">
        <f>IF(U120&lt;0.3,U120,0.3)</f>
        <v>0.3</v>
      </c>
      <c r="V119" s="549" t="s">
        <v>93</v>
      </c>
    </row>
    <row r="120" spans="19:22" s="549" customFormat="1" ht="15.95" customHeight="1" x14ac:dyDescent="0.15">
      <c r="T120" s="635" t="s">
        <v>94</v>
      </c>
      <c r="U120" s="549">
        <v>0.3</v>
      </c>
      <c r="V120" s="549" t="s">
        <v>95</v>
      </c>
    </row>
    <row r="121" spans="19:22" s="549" customFormat="1" ht="15.95" customHeight="1" x14ac:dyDescent="0.2">
      <c r="T121" s="635" t="s">
        <v>96</v>
      </c>
      <c r="U121" s="549">
        <f>0.1*(U123/U122)^(-I51-0.05)</f>
        <v>0.20361680046403985</v>
      </c>
      <c r="V121" s="635" t="s">
        <v>97</v>
      </c>
    </row>
    <row r="122" spans="19:22" s="549" customFormat="1" ht="15.95" customHeight="1" x14ac:dyDescent="0.2">
      <c r="T122" s="635" t="s">
        <v>98</v>
      </c>
      <c r="U122" s="648">
        <f>I49</f>
        <v>350</v>
      </c>
      <c r="V122" s="635" t="s">
        <v>99</v>
      </c>
    </row>
    <row r="123" spans="19:22" s="549" customFormat="1" ht="15.95" customHeight="1" x14ac:dyDescent="0.15">
      <c r="T123" s="549" t="s">
        <v>46</v>
      </c>
      <c r="U123" s="649">
        <f>I50</f>
        <v>10</v>
      </c>
      <c r="V123" s="635" t="s">
        <v>100</v>
      </c>
    </row>
    <row r="124" spans="19:22" s="549" customFormat="1" ht="15.95" customHeight="1" x14ac:dyDescent="0.15"/>
    <row r="125" spans="19:22" s="549" customFormat="1" ht="15.95" customHeight="1" x14ac:dyDescent="0.15"/>
    <row r="126" spans="19:22" s="549" customFormat="1" ht="15.95" customHeight="1" x14ac:dyDescent="0.15"/>
    <row r="127" spans="19:22" s="549" customFormat="1" ht="15.95" customHeight="1" x14ac:dyDescent="0.15"/>
    <row r="128" spans="19:22" s="549" customFormat="1" ht="15.95" customHeight="1" x14ac:dyDescent="0.15"/>
    <row r="129" spans="2:5" s="549" customFormat="1" ht="15.95" customHeight="1" x14ac:dyDescent="0.15"/>
    <row r="130" spans="2:5" s="549" customFormat="1" ht="15.95" customHeight="1" x14ac:dyDescent="0.15">
      <c r="B130" s="634"/>
    </row>
    <row r="131" spans="2:5" s="549" customFormat="1" ht="15.95" customHeight="1" x14ac:dyDescent="0.15"/>
    <row r="132" spans="2:5" s="549" customFormat="1" ht="15.95" customHeight="1" x14ac:dyDescent="0.15"/>
    <row r="133" spans="2:5" s="549" customFormat="1" ht="15.95" customHeight="1" x14ac:dyDescent="0.15"/>
    <row r="134" spans="2:5" s="549" customFormat="1" ht="15.95" customHeight="1" x14ac:dyDescent="0.15"/>
    <row r="135" spans="2:5" s="549" customFormat="1" ht="15.95" customHeight="1" x14ac:dyDescent="0.15"/>
    <row r="136" spans="2:5" s="549" customFormat="1" ht="15.95" customHeight="1" x14ac:dyDescent="0.15"/>
    <row r="137" spans="2:5" s="549" customFormat="1" ht="15.95" customHeight="1" x14ac:dyDescent="0.15"/>
    <row r="138" spans="2:5" s="549" customFormat="1" ht="15.95" customHeight="1" x14ac:dyDescent="0.15">
      <c r="E138" s="611"/>
    </row>
    <row r="139" spans="2:5" s="549" customFormat="1" ht="15.95" customHeight="1" x14ac:dyDescent="0.15">
      <c r="E139" s="611"/>
    </row>
    <row r="140" spans="2:5" s="549" customFormat="1" ht="15.95" customHeight="1" x14ac:dyDescent="0.15"/>
    <row r="141" spans="2:5" s="549" customFormat="1" ht="15.95" customHeight="1" x14ac:dyDescent="0.15"/>
    <row r="142" spans="2:5" s="549" customFormat="1" ht="15.95" customHeight="1" x14ac:dyDescent="0.15"/>
    <row r="143" spans="2:5" s="549" customFormat="1" ht="15.95" customHeight="1" x14ac:dyDescent="0.15"/>
    <row r="144" spans="2:5" s="549" customFormat="1" ht="15.95" customHeight="1" x14ac:dyDescent="0.15"/>
    <row r="145" spans="5:13" s="549" customFormat="1" ht="15.95" customHeight="1" x14ac:dyDescent="0.15"/>
    <row r="146" spans="5:13" s="549" customFormat="1" ht="15.95" customHeight="1" x14ac:dyDescent="0.15">
      <c r="E146" s="650"/>
    </row>
    <row r="147" spans="5:13" s="549" customFormat="1" ht="15.95" customHeight="1" x14ac:dyDescent="0.15"/>
    <row r="148" spans="5:13" s="549" customFormat="1" ht="15.95" customHeight="1" x14ac:dyDescent="0.15"/>
    <row r="149" spans="5:13" s="549" customFormat="1" ht="15.95" customHeight="1" x14ac:dyDescent="0.15"/>
    <row r="150" spans="5:13" s="549" customFormat="1" ht="15.95" customHeight="1" x14ac:dyDescent="0.15"/>
    <row r="151" spans="5:13" s="549" customFormat="1" ht="15.95" customHeight="1" x14ac:dyDescent="0.15"/>
    <row r="152" spans="5:13" s="549" customFormat="1" ht="15.95" customHeight="1" x14ac:dyDescent="0.15"/>
    <row r="153" spans="5:13" x14ac:dyDescent="0.15">
      <c r="J153" s="651"/>
      <c r="K153" s="651"/>
      <c r="L153" s="651"/>
      <c r="M153" s="651"/>
    </row>
    <row r="154" spans="5:13" x14ac:dyDescent="0.15">
      <c r="J154" s="651"/>
      <c r="K154" s="651"/>
      <c r="L154" s="651"/>
      <c r="M154" s="651"/>
    </row>
    <row r="155" spans="5:13" x14ac:dyDescent="0.15">
      <c r="J155" s="651"/>
      <c r="K155" s="651"/>
      <c r="L155" s="651"/>
      <c r="M155" s="651"/>
    </row>
    <row r="156" spans="5:13" x14ac:dyDescent="0.15">
      <c r="J156" s="651"/>
      <c r="K156" s="651"/>
      <c r="L156" s="651"/>
      <c r="M156" s="651"/>
    </row>
  </sheetData>
  <sheetProtection algorithmName="SHA-512" hashValue="LSBVOYxQ3Vj2mpkmXIXL5GNm7qiEbYIScXJhiddGqYj2Jkkiqh9UM4G/mvFpBC4CoqDFoSFRBxApEGUBKCeQlA==" saltValue="BygfeDM114+izU2HfXkYYA==" spinCount="100000" sheet="1" objects="1" scenarios="1" selectLockedCells="1" selectUnlockedCells="1"/>
  <mergeCells count="14">
    <mergeCell ref="H44:L44"/>
    <mergeCell ref="R21:S21"/>
    <mergeCell ref="C22:C23"/>
    <mergeCell ref="D22:D25"/>
    <mergeCell ref="E22:E25"/>
    <mergeCell ref="F22:F23"/>
    <mergeCell ref="C24:C25"/>
    <mergeCell ref="F24:F25"/>
    <mergeCell ref="C20:C21"/>
    <mergeCell ref="D20:D21"/>
    <mergeCell ref="E20:F20"/>
    <mergeCell ref="G20:G21"/>
    <mergeCell ref="H20:I20"/>
    <mergeCell ref="O21:P21"/>
  </mergeCells>
  <phoneticPr fontId="1" type="noConversion"/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9" shapeId="109569" r:id="rId4">
          <objectPr defaultSize="0" autoPict="0" r:id="rId5">
            <anchor moveWithCells="1">
              <from>
                <xdr:col>2</xdr:col>
                <xdr:colOff>0</xdr:colOff>
                <xdr:row>33</xdr:row>
                <xdr:rowOff>57150</xdr:rowOff>
              </from>
              <to>
                <xdr:col>6</xdr:col>
                <xdr:colOff>238125</xdr:colOff>
                <xdr:row>42</xdr:row>
                <xdr:rowOff>9525</xdr:rowOff>
              </to>
            </anchor>
          </objectPr>
        </oleObject>
      </mc:Choice>
      <mc:Fallback>
        <oleObject progId="AutoCAD.Drawing.19" shapeId="10956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</sheetPr>
  <dimension ref="A1:AG148"/>
  <sheetViews>
    <sheetView tabSelected="1" view="pageBreakPreview" zoomScale="85" zoomScaleNormal="100" zoomScaleSheetLayoutView="85" workbookViewId="0">
      <selection activeCell="H15" sqref="H15"/>
    </sheetView>
  </sheetViews>
  <sheetFormatPr defaultColWidth="5.77734375" defaultRowHeight="20.100000000000001" customHeight="1" x14ac:dyDescent="0.15"/>
  <cols>
    <col min="1" max="2" width="2.77734375" style="651" customWidth="1"/>
    <col min="3" max="9" width="7.33203125" style="651" customWidth="1"/>
    <col min="10" max="11" width="7.33203125" style="652" customWidth="1"/>
    <col min="12" max="12" width="5.33203125" style="652" customWidth="1"/>
    <col min="13" max="13" width="2.77734375" style="652" customWidth="1"/>
    <col min="14" max="16" width="6.77734375" style="651" customWidth="1"/>
    <col min="17" max="20" width="6.77734375" style="651" hidden="1" customWidth="1"/>
    <col min="21" max="24" width="7.5546875" style="651" hidden="1" customWidth="1"/>
    <col min="25" max="25" width="6.77734375" style="651" hidden="1" customWidth="1"/>
    <col min="26" max="26" width="3.77734375" style="651" hidden="1" customWidth="1"/>
    <col min="27" max="27" width="4.77734375" style="651" hidden="1" customWidth="1"/>
    <col min="28" max="28" width="6.77734375" style="651" hidden="1" customWidth="1"/>
    <col min="29" max="29" width="51.33203125" style="651" hidden="1" customWidth="1"/>
    <col min="30" max="31" width="3.77734375" style="651" hidden="1" customWidth="1"/>
    <col min="32" max="33" width="6.77734375" style="651" hidden="1" customWidth="1"/>
    <col min="34" max="16384" width="5.77734375" style="651"/>
  </cols>
  <sheetData>
    <row r="1" spans="1:33" s="537" customFormat="1" ht="20.100000000000001" customHeight="1" x14ac:dyDescent="0.15">
      <c r="A1" s="535"/>
      <c r="B1" s="781" t="s">
        <v>460</v>
      </c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Y1" s="537" t="s">
        <v>13</v>
      </c>
      <c r="Z1" s="541">
        <f t="shared" ref="Z1:Z50" si="0">ROUNDDOWN(COUNT(AD1),0)</f>
        <v>0</v>
      </c>
      <c r="AA1" s="541">
        <v>30</v>
      </c>
      <c r="AB1" s="541" t="s">
        <v>14</v>
      </c>
      <c r="AC1" s="542" t="s">
        <v>461</v>
      </c>
      <c r="AD1" s="541" t="e">
        <f t="shared" ref="AD1:AD51" si="1">FIND($O$9,AC1,1)</f>
        <v>#VALUE!</v>
      </c>
      <c r="AE1" s="541">
        <f t="shared" ref="AE1:AE19" si="2">Z1*AA1</f>
        <v>0</v>
      </c>
      <c r="AF1" s="543" t="str">
        <f>IF(AE1=0,"",AB1)</f>
        <v/>
      </c>
      <c r="AG1" s="544" t="str">
        <f t="shared" ref="AG1:AG4" si="3">IF(AE1=0,"",MID(AC1,AD1,4))</f>
        <v/>
      </c>
    </row>
    <row r="2" spans="1:33" s="537" customFormat="1" ht="20.100000000000001" customHeight="1" x14ac:dyDescent="0.15">
      <c r="A2" s="535"/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P2" s="667"/>
      <c r="Z2" s="541">
        <f t="shared" si="0"/>
        <v>0</v>
      </c>
      <c r="AA2" s="541">
        <v>28</v>
      </c>
      <c r="AB2" s="541" t="s">
        <v>14</v>
      </c>
      <c r="AC2" s="542" t="s">
        <v>462</v>
      </c>
      <c r="AD2" s="541" t="e">
        <f t="shared" si="1"/>
        <v>#VALUE!</v>
      </c>
      <c r="AE2" s="541">
        <f t="shared" si="2"/>
        <v>0</v>
      </c>
      <c r="AF2" s="543" t="str">
        <f t="shared" ref="AF2:AF34" si="4">IF(AE2=0,"",AB2)</f>
        <v/>
      </c>
      <c r="AG2" s="544" t="str">
        <f t="shared" si="3"/>
        <v/>
      </c>
    </row>
    <row r="3" spans="1:33" s="549" customFormat="1" ht="20.100000000000001" customHeight="1" x14ac:dyDescent="0.15">
      <c r="A3" s="668"/>
      <c r="Z3" s="541">
        <f t="shared" si="0"/>
        <v>1</v>
      </c>
      <c r="AA3" s="541">
        <v>26</v>
      </c>
      <c r="AB3" s="541" t="s">
        <v>14</v>
      </c>
      <c r="AC3" s="542" t="s">
        <v>463</v>
      </c>
      <c r="AD3" s="541">
        <f t="shared" si="1"/>
        <v>1</v>
      </c>
      <c r="AE3" s="541">
        <f t="shared" si="2"/>
        <v>26</v>
      </c>
      <c r="AF3" s="543" t="str">
        <f t="shared" si="4"/>
        <v>경기도</v>
      </c>
      <c r="AG3" s="544" t="str">
        <f t="shared" si="3"/>
        <v xml:space="preserve">서울시 </v>
      </c>
    </row>
    <row r="4" spans="1:33" s="1" customFormat="1" ht="20.100000000000001" customHeight="1" x14ac:dyDescent="0.15">
      <c r="B4" s="538"/>
      <c r="I4" s="540"/>
      <c r="Z4" s="541">
        <f t="shared" si="0"/>
        <v>0</v>
      </c>
      <c r="AA4" s="541">
        <v>26</v>
      </c>
      <c r="AB4" s="541" t="s">
        <v>14</v>
      </c>
      <c r="AC4" s="542" t="s">
        <v>1436</v>
      </c>
      <c r="AD4" s="541" t="e">
        <f t="shared" si="1"/>
        <v>#VALUE!</v>
      </c>
      <c r="AE4" s="541">
        <f t="shared" si="2"/>
        <v>0</v>
      </c>
      <c r="AF4" s="543" t="str">
        <f t="shared" si="4"/>
        <v/>
      </c>
      <c r="AG4" s="544" t="str">
        <f t="shared" si="3"/>
        <v/>
      </c>
    </row>
    <row r="5" spans="1:33" s="1" customFormat="1" ht="20.100000000000001" customHeight="1" x14ac:dyDescent="0.15">
      <c r="A5" s="545"/>
      <c r="B5" s="548" t="s">
        <v>17</v>
      </c>
      <c r="C5" s="547" t="s">
        <v>18</v>
      </c>
      <c r="D5" s="547"/>
      <c r="E5" s="547"/>
      <c r="F5" s="547"/>
      <c r="G5" s="547"/>
      <c r="H5" s="547"/>
      <c r="I5" s="547"/>
      <c r="U5" s="164"/>
      <c r="Z5" s="541">
        <f t="shared" si="0"/>
        <v>0</v>
      </c>
      <c r="AA5" s="541">
        <v>26</v>
      </c>
      <c r="AB5" s="541" t="s">
        <v>14</v>
      </c>
      <c r="AC5" s="542" t="s">
        <v>1435</v>
      </c>
      <c r="AD5" s="541" t="e">
        <f t="shared" si="1"/>
        <v>#VALUE!</v>
      </c>
      <c r="AE5" s="541">
        <f t="shared" si="2"/>
        <v>0</v>
      </c>
      <c r="AF5" s="543" t="str">
        <f>IF(OR(AE5=0,O10=2),"",AB5)</f>
        <v/>
      </c>
      <c r="AG5" s="544" t="str">
        <f>IF(OR(AE5=0,O10=2),"",IF(AE5=0,"",MID(AC5,AD5,4)))</f>
        <v/>
      </c>
    </row>
    <row r="6" spans="1:33" s="547" customFormat="1" ht="20.100000000000001" customHeight="1" x14ac:dyDescent="0.15">
      <c r="B6" s="549"/>
      <c r="C6" s="549"/>
      <c r="D6" s="549"/>
      <c r="E6" s="549"/>
      <c r="F6" s="549"/>
      <c r="G6" s="549"/>
      <c r="H6" s="549"/>
      <c r="I6" s="549"/>
      <c r="Q6" s="1"/>
      <c r="R6" s="779"/>
      <c r="S6" s="780"/>
      <c r="T6" s="160" t="s">
        <v>649</v>
      </c>
      <c r="U6" s="160" t="s">
        <v>650</v>
      </c>
      <c r="Y6" s="1"/>
      <c r="Z6" s="541">
        <f t="shared" si="0"/>
        <v>0</v>
      </c>
      <c r="AA6" s="541">
        <v>24</v>
      </c>
      <c r="AB6" s="541" t="s">
        <v>14</v>
      </c>
      <c r="AC6" s="542" t="s">
        <v>464</v>
      </c>
      <c r="AD6" s="541" t="e">
        <f t="shared" si="1"/>
        <v>#VALUE!</v>
      </c>
      <c r="AE6" s="541">
        <f t="shared" si="2"/>
        <v>0</v>
      </c>
      <c r="AF6" s="543" t="str">
        <f t="shared" si="4"/>
        <v/>
      </c>
      <c r="AG6" s="544" t="str">
        <f>IF(AE6=0,"",MID(AC6,AD6,4))</f>
        <v/>
      </c>
    </row>
    <row r="7" spans="1:33" s="549" customFormat="1" ht="20.100000000000001" customHeight="1" x14ac:dyDescent="0.15">
      <c r="B7" s="2" t="s">
        <v>21</v>
      </c>
      <c r="Q7" s="1"/>
      <c r="R7" s="165" t="s">
        <v>557</v>
      </c>
      <c r="S7" s="161">
        <v>1</v>
      </c>
      <c r="T7" s="162" t="str">
        <f>IF('WIND LOAD'!$F$9&gt;=20,'20m↑'!I22,"-")</f>
        <v>-</v>
      </c>
      <c r="U7" s="162">
        <f>IF('WIND LOAD'!$F$9&lt;20,'20m↓'!H22,"-")</f>
        <v>0.96</v>
      </c>
      <c r="Y7" s="547"/>
      <c r="Z7" s="541">
        <f t="shared" si="0"/>
        <v>0</v>
      </c>
      <c r="AA7" s="541">
        <v>34</v>
      </c>
      <c r="AB7" s="541" t="s">
        <v>16</v>
      </c>
      <c r="AC7" s="542" t="s">
        <v>465</v>
      </c>
      <c r="AD7" s="541" t="e">
        <f t="shared" si="1"/>
        <v>#VALUE!</v>
      </c>
      <c r="AE7" s="541">
        <f t="shared" si="2"/>
        <v>0</v>
      </c>
      <c r="AF7" s="543" t="str">
        <f>IF(OR(AE7=0,O10=4),"",AB7)</f>
        <v/>
      </c>
      <c r="AG7" s="544" t="str">
        <f>IF(OR(AE7=0,O10=4),"",IF(AE7=0,"",MID(AC7,AD7,4)))</f>
        <v/>
      </c>
    </row>
    <row r="8" spans="1:33" s="549" customFormat="1" ht="20.100000000000001" customHeight="1" x14ac:dyDescent="0.15">
      <c r="B8" s="538" t="s">
        <v>15</v>
      </c>
      <c r="C8" s="1" t="s">
        <v>22</v>
      </c>
      <c r="D8" s="1"/>
      <c r="E8" s="550" t="s">
        <v>23</v>
      </c>
      <c r="F8" s="669" t="str">
        <f>O15</f>
        <v>서울</v>
      </c>
      <c r="G8" s="670" t="str">
        <f>P15</f>
        <v>특별시</v>
      </c>
      <c r="H8" s="1"/>
      <c r="I8" s="1"/>
      <c r="Q8" s="1"/>
      <c r="R8" s="165" t="s">
        <v>558</v>
      </c>
      <c r="S8" s="161">
        <v>2</v>
      </c>
      <c r="T8" s="162" t="str">
        <f>IF('WIND LOAD'!$F$9&gt;=20,'20m↑'!J23,"-")</f>
        <v>-</v>
      </c>
      <c r="U8" s="162">
        <f>IF('WIND LOAD'!$F$9&lt;20,'20m↓'!I23,"-")</f>
        <v>-0.82599999999999996</v>
      </c>
      <c r="Z8" s="541">
        <f t="shared" si="0"/>
        <v>0</v>
      </c>
      <c r="AA8" s="541">
        <v>30</v>
      </c>
      <c r="AB8" s="541" t="s">
        <v>16</v>
      </c>
      <c r="AC8" s="542" t="s">
        <v>466</v>
      </c>
      <c r="AD8" s="541" t="e">
        <f t="shared" si="1"/>
        <v>#VALUE!</v>
      </c>
      <c r="AE8" s="541">
        <f t="shared" si="2"/>
        <v>0</v>
      </c>
      <c r="AF8" s="543" t="str">
        <f t="shared" si="4"/>
        <v/>
      </c>
      <c r="AG8" s="544" t="str">
        <f t="shared" ref="AG8:AG34" si="5">IF(AE8=0,"",MID(AC8,AD8,4))</f>
        <v/>
      </c>
    </row>
    <row r="9" spans="1:33" s="1" customFormat="1" ht="20.100000000000001" customHeight="1" x14ac:dyDescent="0.15">
      <c r="B9" s="538" t="s">
        <v>15</v>
      </c>
      <c r="C9" s="1" t="s">
        <v>468</v>
      </c>
      <c r="E9" s="550" t="s">
        <v>23</v>
      </c>
      <c r="F9" s="678">
        <v>10</v>
      </c>
      <c r="G9" s="671" t="s">
        <v>24</v>
      </c>
      <c r="N9" s="537" t="s">
        <v>12</v>
      </c>
      <c r="O9" s="534" t="s">
        <v>1438</v>
      </c>
      <c r="P9" s="537"/>
      <c r="R9" s="165" t="s">
        <v>559</v>
      </c>
      <c r="S9" s="161">
        <v>3</v>
      </c>
      <c r="T9" s="162" t="str">
        <f>IF('WIND LOAD'!$F$9&gt;=20,'20m↑'!J25,"-")</f>
        <v>-</v>
      </c>
      <c r="U9" s="162">
        <f>IF('WIND LOAD'!$F$9&lt;20,'20m↓'!I25,"-")</f>
        <v>-0.98899999999999999</v>
      </c>
      <c r="Y9" s="549"/>
      <c r="Z9" s="541">
        <f t="shared" si="0"/>
        <v>0</v>
      </c>
      <c r="AA9" s="541">
        <v>26</v>
      </c>
      <c r="AB9" s="541" t="s">
        <v>16</v>
      </c>
      <c r="AC9" s="542" t="s">
        <v>467</v>
      </c>
      <c r="AD9" s="541" t="e">
        <f t="shared" si="1"/>
        <v>#VALUE!</v>
      </c>
      <c r="AE9" s="541">
        <f t="shared" si="2"/>
        <v>0</v>
      </c>
      <c r="AF9" s="543" t="str">
        <f t="shared" si="4"/>
        <v/>
      </c>
      <c r="AG9" s="544" t="str">
        <f t="shared" si="5"/>
        <v/>
      </c>
    </row>
    <row r="10" spans="1:33" s="1" customFormat="1" ht="20.100000000000001" customHeight="1" x14ac:dyDescent="0.15">
      <c r="B10" s="538" t="s">
        <v>15</v>
      </c>
      <c r="C10" s="1" t="s">
        <v>470</v>
      </c>
      <c r="E10" s="550" t="s">
        <v>23</v>
      </c>
      <c r="F10" s="678">
        <f>F9</f>
        <v>10</v>
      </c>
      <c r="G10" s="671" t="s">
        <v>24</v>
      </c>
      <c r="N10" s="556" t="str">
        <f>IF(O9="광주","광주일때",IF(O9="고성","고성일때","빈칸일것"))</f>
        <v>빈칸일것</v>
      </c>
      <c r="O10" s="534"/>
      <c r="P10" s="537"/>
      <c r="Y10" s="549"/>
      <c r="Z10" s="541">
        <f t="shared" si="0"/>
        <v>0</v>
      </c>
      <c r="AA10" s="541">
        <v>24</v>
      </c>
      <c r="AB10" s="541" t="s">
        <v>16</v>
      </c>
      <c r="AC10" s="542" t="s">
        <v>469</v>
      </c>
      <c r="AD10" s="541" t="e">
        <f t="shared" si="1"/>
        <v>#VALUE!</v>
      </c>
      <c r="AE10" s="541">
        <f t="shared" si="2"/>
        <v>0</v>
      </c>
      <c r="AF10" s="543" t="str">
        <f t="shared" si="4"/>
        <v/>
      </c>
      <c r="AG10" s="544" t="str">
        <f t="shared" si="5"/>
        <v/>
      </c>
    </row>
    <row r="11" spans="1:33" s="1" customFormat="1" ht="20.100000000000001" customHeight="1" x14ac:dyDescent="0.15">
      <c r="B11" s="538" t="s">
        <v>15</v>
      </c>
      <c r="C11" s="1" t="s">
        <v>25</v>
      </c>
      <c r="E11" s="550" t="s">
        <v>23</v>
      </c>
      <c r="F11" s="672">
        <f>O14</f>
        <v>26</v>
      </c>
      <c r="G11" s="1" t="s">
        <v>26</v>
      </c>
      <c r="N11" s="557" t="str">
        <f>IF(O9="광주",1,IF(O9="고성",3,"-"))</f>
        <v>-</v>
      </c>
      <c r="O11" s="557" t="str">
        <f>IF(O9="광주","경기",IF(O9="고성","강원","-"))</f>
        <v>-</v>
      </c>
      <c r="P11" s="549"/>
      <c r="Z11" s="541">
        <f t="shared" si="0"/>
        <v>0</v>
      </c>
      <c r="AA11" s="541">
        <v>30</v>
      </c>
      <c r="AB11" s="560" t="s">
        <v>471</v>
      </c>
      <c r="AC11" s="542" t="s">
        <v>472</v>
      </c>
      <c r="AD11" s="541" t="e">
        <f t="shared" si="1"/>
        <v>#VALUE!</v>
      </c>
      <c r="AE11" s="541">
        <f t="shared" si="2"/>
        <v>0</v>
      </c>
      <c r="AF11" s="543" t="str">
        <f t="shared" si="4"/>
        <v/>
      </c>
      <c r="AG11" s="544" t="str">
        <f t="shared" si="5"/>
        <v/>
      </c>
    </row>
    <row r="12" spans="1:33" s="1" customFormat="1" ht="20.100000000000001" customHeight="1" x14ac:dyDescent="0.15">
      <c r="B12" s="538" t="s">
        <v>15</v>
      </c>
      <c r="C12" s="1" t="s">
        <v>27</v>
      </c>
      <c r="E12" s="550" t="s">
        <v>23</v>
      </c>
      <c r="F12" s="678" t="s">
        <v>624</v>
      </c>
      <c r="N12" s="557" t="str">
        <f>IF(O9="광주",2,IF(O9="고성",4,"-"))</f>
        <v>-</v>
      </c>
      <c r="O12" s="559" t="str">
        <f>IF(O9="광주","전라",IF(O9="고성","경상","-"))</f>
        <v>-</v>
      </c>
      <c r="Z12" s="541">
        <f t="shared" si="0"/>
        <v>0</v>
      </c>
      <c r="AA12" s="541">
        <v>28</v>
      </c>
      <c r="AB12" s="560" t="s">
        <v>471</v>
      </c>
      <c r="AC12" s="542" t="s">
        <v>473</v>
      </c>
      <c r="AD12" s="541" t="e">
        <f t="shared" si="1"/>
        <v>#VALUE!</v>
      </c>
      <c r="AE12" s="541">
        <f t="shared" si="2"/>
        <v>0</v>
      </c>
      <c r="AF12" s="543" t="str">
        <f t="shared" si="4"/>
        <v/>
      </c>
      <c r="AG12" s="544" t="str">
        <f t="shared" si="5"/>
        <v/>
      </c>
    </row>
    <row r="13" spans="1:33" s="1" customFormat="1" ht="20.100000000000001" customHeight="1" x14ac:dyDescent="0.15">
      <c r="B13" s="538" t="s">
        <v>15</v>
      </c>
      <c r="C13" s="1" t="s">
        <v>28</v>
      </c>
      <c r="E13" s="550" t="s">
        <v>23</v>
      </c>
      <c r="F13" s="679">
        <v>1</v>
      </c>
      <c r="N13" s="754" t="s">
        <v>1437</v>
      </c>
      <c r="P13" s="553"/>
      <c r="Z13" s="541">
        <f t="shared" si="0"/>
        <v>0</v>
      </c>
      <c r="AA13" s="541">
        <v>26</v>
      </c>
      <c r="AB13" s="560" t="s">
        <v>471</v>
      </c>
      <c r="AC13" s="542" t="s">
        <v>474</v>
      </c>
      <c r="AD13" s="541" t="e">
        <f t="shared" si="1"/>
        <v>#VALUE!</v>
      </c>
      <c r="AE13" s="541">
        <f t="shared" si="2"/>
        <v>0</v>
      </c>
      <c r="AF13" s="543" t="str">
        <f t="shared" si="4"/>
        <v/>
      </c>
      <c r="AG13" s="544" t="str">
        <f t="shared" si="5"/>
        <v/>
      </c>
    </row>
    <row r="14" spans="1:33" s="1" customFormat="1" ht="20.100000000000001" customHeight="1" x14ac:dyDescent="0.15">
      <c r="B14" s="538" t="s">
        <v>15</v>
      </c>
      <c r="C14" s="1" t="s">
        <v>29</v>
      </c>
      <c r="E14" s="550" t="s">
        <v>23</v>
      </c>
      <c r="F14" s="680">
        <v>1</v>
      </c>
      <c r="N14" s="1" t="s">
        <v>19</v>
      </c>
      <c r="O14" s="562">
        <f>IF(O9="광주",IF(O10=1,26,IF(O10=2,26,"타입입력")),IF(O9="고성",IF(O10=3,34,IF(O10=4,32,"타입입력")),SUM(AE1:AE51)))</f>
        <v>26</v>
      </c>
      <c r="P14" s="553"/>
      <c r="Z14" s="541">
        <f t="shared" si="0"/>
        <v>0</v>
      </c>
      <c r="AA14" s="541">
        <v>24</v>
      </c>
      <c r="AB14" s="560" t="s">
        <v>471</v>
      </c>
      <c r="AC14" s="542" t="s">
        <v>475</v>
      </c>
      <c r="AD14" s="541" t="e">
        <f t="shared" si="1"/>
        <v>#VALUE!</v>
      </c>
      <c r="AE14" s="541">
        <f t="shared" si="2"/>
        <v>0</v>
      </c>
      <c r="AF14" s="543" t="str">
        <f t="shared" si="4"/>
        <v/>
      </c>
      <c r="AG14" s="544" t="str">
        <f t="shared" si="5"/>
        <v/>
      </c>
    </row>
    <row r="15" spans="1:33" s="1" customFormat="1" ht="20.100000000000001" customHeight="1" x14ac:dyDescent="0.15">
      <c r="B15" s="538" t="s">
        <v>15</v>
      </c>
      <c r="C15" s="1" t="s">
        <v>30</v>
      </c>
      <c r="E15" s="550" t="s">
        <v>23</v>
      </c>
      <c r="F15" s="681">
        <v>1000</v>
      </c>
      <c r="G15" s="540" t="s">
        <v>31</v>
      </c>
      <c r="H15" s="681">
        <v>3900</v>
      </c>
      <c r="I15" s="540" t="s">
        <v>32</v>
      </c>
      <c r="N15" s="1" t="s">
        <v>20</v>
      </c>
      <c r="O15" s="563" t="str">
        <f>IF(OR(O9="인천",O10=2,O9="대전",O9="부산",O9="대구",O9="울산",O9="세종",O9="서울"),O9,AF52)</f>
        <v>서울</v>
      </c>
      <c r="P15" s="544" t="str">
        <f>IF(OR(O10=2,O9="인천",O9="대전",O9="부산",O9="대구",O9="울산"),"광역시",IF(O9="세종","특별자치시",IF(O9="서울","특별시",IF(O10=2,"광역시",AG52))))</f>
        <v>특별시</v>
      </c>
      <c r="Z15" s="541">
        <f t="shared" si="0"/>
        <v>0</v>
      </c>
      <c r="AA15" s="541">
        <v>34</v>
      </c>
      <c r="AB15" s="566" t="s">
        <v>476</v>
      </c>
      <c r="AC15" s="542" t="s">
        <v>477</v>
      </c>
      <c r="AD15" s="541" t="e">
        <f t="shared" si="1"/>
        <v>#VALUE!</v>
      </c>
      <c r="AE15" s="541">
        <f t="shared" si="2"/>
        <v>0</v>
      </c>
      <c r="AF15" s="543" t="str">
        <f t="shared" si="4"/>
        <v/>
      </c>
      <c r="AG15" s="544" t="str">
        <f t="shared" si="5"/>
        <v/>
      </c>
    </row>
    <row r="16" spans="1:33" s="1" customFormat="1" ht="20.100000000000001" customHeight="1" x14ac:dyDescent="0.15">
      <c r="B16" s="538"/>
      <c r="E16" s="550"/>
      <c r="F16" s="567"/>
      <c r="G16" s="567"/>
      <c r="H16" s="567"/>
      <c r="I16" s="567"/>
      <c r="N16" s="1" t="s">
        <v>77</v>
      </c>
      <c r="O16" s="673">
        <f>F15*H15/10^6</f>
        <v>3.9</v>
      </c>
      <c r="P16" s="544" t="s">
        <v>612</v>
      </c>
      <c r="Z16" s="541">
        <f t="shared" si="0"/>
        <v>0</v>
      </c>
      <c r="AA16" s="541">
        <v>32</v>
      </c>
      <c r="AB16" s="566" t="s">
        <v>476</v>
      </c>
      <c r="AC16" s="542" t="s">
        <v>478</v>
      </c>
      <c r="AD16" s="541" t="e">
        <f t="shared" si="1"/>
        <v>#VALUE!</v>
      </c>
      <c r="AE16" s="541">
        <f t="shared" si="2"/>
        <v>0</v>
      </c>
      <c r="AF16" s="543" t="str">
        <f t="shared" si="4"/>
        <v/>
      </c>
      <c r="AG16" s="544" t="str">
        <f t="shared" si="5"/>
        <v/>
      </c>
    </row>
    <row r="17" spans="2:33" s="1" customFormat="1" ht="20.100000000000001" customHeight="1" x14ac:dyDescent="0.15">
      <c r="B17" s="538" t="s">
        <v>15</v>
      </c>
      <c r="C17" s="1" t="s">
        <v>33</v>
      </c>
      <c r="E17" s="550" t="s">
        <v>23</v>
      </c>
      <c r="F17" s="674">
        <f>IF('WIND LOAD'!$F$9&gt;=20,T7,U7)</f>
        <v>0.96</v>
      </c>
      <c r="G17" s="675" t="s">
        <v>626</v>
      </c>
      <c r="H17" s="565">
        <f>ROUNDUP(F17/9.80665*1000,)</f>
        <v>98</v>
      </c>
      <c r="I17" s="549" t="s">
        <v>34</v>
      </c>
      <c r="J17" s="567"/>
      <c r="Z17" s="541">
        <f t="shared" si="0"/>
        <v>0</v>
      </c>
      <c r="AA17" s="541">
        <v>30</v>
      </c>
      <c r="AB17" s="566" t="s">
        <v>476</v>
      </c>
      <c r="AC17" s="542" t="s">
        <v>479</v>
      </c>
      <c r="AD17" s="541" t="e">
        <f t="shared" si="1"/>
        <v>#VALUE!</v>
      </c>
      <c r="AE17" s="541">
        <f t="shared" si="2"/>
        <v>0</v>
      </c>
      <c r="AF17" s="543" t="str">
        <f t="shared" si="4"/>
        <v/>
      </c>
      <c r="AG17" s="544" t="str">
        <f t="shared" si="5"/>
        <v/>
      </c>
    </row>
    <row r="18" spans="2:33" s="1" customFormat="1" ht="20.100000000000001" customHeight="1" x14ac:dyDescent="0.15">
      <c r="B18" s="538" t="s">
        <v>15</v>
      </c>
      <c r="C18" s="1" t="s">
        <v>35</v>
      </c>
      <c r="E18" s="550" t="s">
        <v>23</v>
      </c>
      <c r="F18" s="674">
        <f>IF('WIND LOAD'!$F$9&gt;=20,T8,U8)</f>
        <v>-0.82599999999999996</v>
      </c>
      <c r="G18" s="675" t="s">
        <v>626</v>
      </c>
      <c r="H18" s="565">
        <f t="shared" ref="H18" si="6">ROUNDUP(F18/9.80665*1000,)</f>
        <v>-85</v>
      </c>
      <c r="I18" s="549" t="s">
        <v>34</v>
      </c>
      <c r="Z18" s="541">
        <f t="shared" si="0"/>
        <v>0</v>
      </c>
      <c r="AA18" s="541">
        <v>28</v>
      </c>
      <c r="AB18" s="566" t="s">
        <v>476</v>
      </c>
      <c r="AC18" s="542" t="s">
        <v>480</v>
      </c>
      <c r="AD18" s="541" t="e">
        <f t="shared" si="1"/>
        <v>#VALUE!</v>
      </c>
      <c r="AE18" s="541">
        <f t="shared" si="2"/>
        <v>0</v>
      </c>
      <c r="AF18" s="543" t="str">
        <f t="shared" si="4"/>
        <v/>
      </c>
      <c r="AG18" s="544" t="str">
        <f t="shared" si="5"/>
        <v/>
      </c>
    </row>
    <row r="19" spans="2:33" s="1" customFormat="1" ht="20.100000000000001" customHeight="1" x14ac:dyDescent="0.15">
      <c r="B19" s="538" t="s">
        <v>15</v>
      </c>
      <c r="C19" s="1" t="s">
        <v>36</v>
      </c>
      <c r="E19" s="550" t="s">
        <v>23</v>
      </c>
      <c r="F19" s="674">
        <f>IF('WIND LOAD'!$F$9&gt;=20,T9,U9)</f>
        <v>-0.98899999999999999</v>
      </c>
      <c r="G19" s="675" t="s">
        <v>626</v>
      </c>
      <c r="H19" s="565">
        <f>ROUNDUP(F19/9.80665*1000,)</f>
        <v>-101</v>
      </c>
      <c r="I19" s="549" t="s">
        <v>34</v>
      </c>
      <c r="Z19" s="541">
        <f t="shared" si="0"/>
        <v>0</v>
      </c>
      <c r="AA19" s="541">
        <v>26</v>
      </c>
      <c r="AB19" s="566" t="s">
        <v>476</v>
      </c>
      <c r="AC19" s="542" t="s">
        <v>481</v>
      </c>
      <c r="AD19" s="541" t="e">
        <f t="shared" si="1"/>
        <v>#VALUE!</v>
      </c>
      <c r="AE19" s="541">
        <f t="shared" si="2"/>
        <v>0</v>
      </c>
      <c r="AF19" s="543" t="str">
        <f t="shared" si="4"/>
        <v/>
      </c>
      <c r="AG19" s="544" t="str">
        <f t="shared" si="5"/>
        <v/>
      </c>
    </row>
    <row r="20" spans="2:33" s="1" customFormat="1" ht="20.100000000000001" customHeight="1" x14ac:dyDescent="0.15">
      <c r="Z20" s="541">
        <f t="shared" si="0"/>
        <v>0</v>
      </c>
      <c r="AA20" s="541">
        <v>24</v>
      </c>
      <c r="AB20" s="566" t="s">
        <v>476</v>
      </c>
      <c r="AC20" s="542" t="s">
        <v>482</v>
      </c>
      <c r="AD20" s="541" t="e">
        <f t="shared" si="1"/>
        <v>#VALUE!</v>
      </c>
      <c r="AE20" s="541">
        <f>Z20*AA20</f>
        <v>0</v>
      </c>
      <c r="AF20" s="543" t="str">
        <f t="shared" si="4"/>
        <v/>
      </c>
      <c r="AG20" s="544" t="str">
        <f t="shared" si="5"/>
        <v/>
      </c>
    </row>
    <row r="21" spans="2:33" s="1" customFormat="1" ht="20.100000000000001" customHeight="1" x14ac:dyDescent="0.15">
      <c r="B21" s="538"/>
      <c r="E21" s="550"/>
      <c r="F21" s="567"/>
      <c r="G21" s="549"/>
      <c r="H21" s="567"/>
      <c r="I21" s="567"/>
      <c r="J21" s="567"/>
      <c r="Z21" s="541"/>
      <c r="AA21" s="541"/>
      <c r="AB21" s="566"/>
      <c r="AC21" s="542"/>
      <c r="AD21" s="541"/>
      <c r="AE21" s="541"/>
      <c r="AF21" s="543"/>
      <c r="AG21" s="544"/>
    </row>
    <row r="22" spans="2:33" s="1" customFormat="1" ht="20.100000000000001" customHeight="1" x14ac:dyDescent="0.15">
      <c r="Z22" s="541">
        <f t="shared" si="0"/>
        <v>0</v>
      </c>
      <c r="AA22" s="541">
        <v>40</v>
      </c>
      <c r="AB22" s="560" t="s">
        <v>483</v>
      </c>
      <c r="AC22" s="542" t="s">
        <v>484</v>
      </c>
      <c r="AD22" s="541" t="e">
        <f t="shared" si="1"/>
        <v>#VALUE!</v>
      </c>
      <c r="AE22" s="541">
        <f>Z22*AA22</f>
        <v>0</v>
      </c>
      <c r="AF22" s="543" t="str">
        <f t="shared" si="4"/>
        <v/>
      </c>
      <c r="AG22" s="544" t="str">
        <f t="shared" si="5"/>
        <v/>
      </c>
    </row>
    <row r="23" spans="2:33" s="1" customFormat="1" ht="20.100000000000001" customHeight="1" x14ac:dyDescent="0.15">
      <c r="G23" s="586"/>
      <c r="Z23" s="541">
        <f t="shared" si="0"/>
        <v>0</v>
      </c>
      <c r="AA23" s="541">
        <v>36</v>
      </c>
      <c r="AB23" s="560" t="s">
        <v>483</v>
      </c>
      <c r="AC23" s="542" t="s">
        <v>485</v>
      </c>
      <c r="AD23" s="541" t="e">
        <f t="shared" si="1"/>
        <v>#VALUE!</v>
      </c>
      <c r="AE23" s="541">
        <f t="shared" ref="AE23:AE51" si="7">Z23*AA23</f>
        <v>0</v>
      </c>
      <c r="AF23" s="543" t="str">
        <f t="shared" si="4"/>
        <v/>
      </c>
      <c r="AG23" s="544" t="str">
        <f t="shared" si="5"/>
        <v/>
      </c>
    </row>
    <row r="24" spans="2:33" s="1" customFormat="1" ht="20.100000000000001" customHeight="1" x14ac:dyDescent="0.15">
      <c r="G24" s="587"/>
      <c r="Z24" s="541">
        <f t="shared" si="0"/>
        <v>0</v>
      </c>
      <c r="AA24" s="541">
        <v>34</v>
      </c>
      <c r="AB24" s="560" t="s">
        <v>483</v>
      </c>
      <c r="AC24" s="542" t="s">
        <v>486</v>
      </c>
      <c r="AD24" s="541" t="e">
        <f t="shared" si="1"/>
        <v>#VALUE!</v>
      </c>
      <c r="AE24" s="541">
        <f t="shared" si="7"/>
        <v>0</v>
      </c>
      <c r="AF24" s="543" t="str">
        <f t="shared" si="4"/>
        <v/>
      </c>
      <c r="AG24" s="544" t="str">
        <f t="shared" si="5"/>
        <v/>
      </c>
    </row>
    <row r="25" spans="2:33" s="1" customFormat="1" ht="20.100000000000001" customHeight="1" x14ac:dyDescent="0.15">
      <c r="Z25" s="541">
        <f t="shared" si="0"/>
        <v>0</v>
      </c>
      <c r="AA25" s="541">
        <v>34</v>
      </c>
      <c r="AB25" s="582" t="s">
        <v>487</v>
      </c>
      <c r="AC25" s="542" t="s">
        <v>488</v>
      </c>
      <c r="AD25" s="541" t="e">
        <f t="shared" si="1"/>
        <v>#VALUE!</v>
      </c>
      <c r="AE25" s="541">
        <f t="shared" si="7"/>
        <v>0</v>
      </c>
      <c r="AF25" s="543" t="str">
        <f t="shared" si="4"/>
        <v/>
      </c>
      <c r="AG25" s="544" t="str">
        <f t="shared" si="5"/>
        <v/>
      </c>
    </row>
    <row r="26" spans="2:33" s="1" customFormat="1" ht="20.100000000000001" customHeight="1" x14ac:dyDescent="0.15">
      <c r="J26" s="665"/>
      <c r="K26" s="676"/>
      <c r="Z26" s="541">
        <f t="shared" si="0"/>
        <v>0</v>
      </c>
      <c r="AA26" s="541">
        <v>32</v>
      </c>
      <c r="AB26" s="560" t="s">
        <v>483</v>
      </c>
      <c r="AC26" s="542" t="s">
        <v>489</v>
      </c>
      <c r="AD26" s="541" t="e">
        <f t="shared" si="1"/>
        <v>#VALUE!</v>
      </c>
      <c r="AE26" s="541">
        <f t="shared" si="7"/>
        <v>0</v>
      </c>
      <c r="AF26" s="543" t="str">
        <f t="shared" si="4"/>
        <v/>
      </c>
      <c r="AG26" s="544" t="str">
        <f t="shared" si="5"/>
        <v/>
      </c>
    </row>
    <row r="27" spans="2:33" s="1" customFormat="1" ht="20.100000000000001" customHeight="1" x14ac:dyDescent="0.15">
      <c r="J27" s="666"/>
      <c r="K27" s="676"/>
      <c r="O27" s="677"/>
      <c r="Z27" s="541">
        <f t="shared" si="0"/>
        <v>0</v>
      </c>
      <c r="AA27" s="541">
        <v>30</v>
      </c>
      <c r="AB27" s="560" t="s">
        <v>483</v>
      </c>
      <c r="AC27" s="542" t="s">
        <v>490</v>
      </c>
      <c r="AD27" s="541" t="e">
        <f t="shared" si="1"/>
        <v>#VALUE!</v>
      </c>
      <c r="AE27" s="541">
        <f t="shared" si="7"/>
        <v>0</v>
      </c>
      <c r="AF27" s="543" t="str">
        <f t="shared" si="4"/>
        <v/>
      </c>
      <c r="AG27" s="544" t="str">
        <f t="shared" si="5"/>
        <v/>
      </c>
    </row>
    <row r="28" spans="2:33" s="1" customFormat="1" ht="20.100000000000001" customHeight="1" x14ac:dyDescent="0.15">
      <c r="O28" s="677"/>
      <c r="Z28" s="541">
        <f t="shared" si="0"/>
        <v>0</v>
      </c>
      <c r="AA28" s="541">
        <v>28</v>
      </c>
      <c r="AB28" s="560" t="s">
        <v>483</v>
      </c>
      <c r="AC28" s="542" t="s">
        <v>491</v>
      </c>
      <c r="AD28" s="541" t="e">
        <f t="shared" si="1"/>
        <v>#VALUE!</v>
      </c>
      <c r="AE28" s="541">
        <f t="shared" si="7"/>
        <v>0</v>
      </c>
      <c r="AF28" s="543" t="str">
        <f t="shared" si="4"/>
        <v/>
      </c>
      <c r="AG28" s="544" t="str">
        <f t="shared" si="5"/>
        <v/>
      </c>
    </row>
    <row r="29" spans="2:33" s="1" customFormat="1" ht="20.100000000000001" customHeight="1" x14ac:dyDescent="0.15">
      <c r="G29" s="590"/>
      <c r="O29" s="677"/>
      <c r="U29" s="549"/>
      <c r="Z29" s="541">
        <f t="shared" si="0"/>
        <v>0</v>
      </c>
      <c r="AA29" s="541">
        <v>26</v>
      </c>
      <c r="AB29" s="560" t="s">
        <v>483</v>
      </c>
      <c r="AC29" s="542" t="s">
        <v>492</v>
      </c>
      <c r="AD29" s="541" t="e">
        <f t="shared" si="1"/>
        <v>#VALUE!</v>
      </c>
      <c r="AE29" s="541">
        <f t="shared" si="7"/>
        <v>0</v>
      </c>
      <c r="AF29" s="543" t="str">
        <f t="shared" si="4"/>
        <v/>
      </c>
      <c r="AG29" s="544" t="str">
        <f t="shared" si="5"/>
        <v/>
      </c>
    </row>
    <row r="30" spans="2:33" s="1" customFormat="1" ht="20.100000000000001" customHeight="1" x14ac:dyDescent="0.15">
      <c r="O30" s="677"/>
      <c r="Z30" s="541">
        <f t="shared" si="0"/>
        <v>0</v>
      </c>
      <c r="AA30" s="541">
        <v>24</v>
      </c>
      <c r="AB30" s="560" t="s">
        <v>483</v>
      </c>
      <c r="AC30" s="542" t="s">
        <v>493</v>
      </c>
      <c r="AD30" s="541" t="e">
        <f t="shared" si="1"/>
        <v>#VALUE!</v>
      </c>
      <c r="AE30" s="541">
        <f t="shared" si="7"/>
        <v>0</v>
      </c>
      <c r="AF30" s="543" t="str">
        <f t="shared" si="4"/>
        <v/>
      </c>
      <c r="AG30" s="544" t="str">
        <f t="shared" si="5"/>
        <v/>
      </c>
    </row>
    <row r="31" spans="2:33" s="1" customFormat="1" ht="20.100000000000001" customHeight="1" x14ac:dyDescent="0.15">
      <c r="O31" s="677"/>
      <c r="Z31" s="541">
        <f t="shared" si="0"/>
        <v>0</v>
      </c>
      <c r="AA31" s="541">
        <v>38</v>
      </c>
      <c r="AB31" s="566" t="s">
        <v>494</v>
      </c>
      <c r="AC31" s="542" t="s">
        <v>495</v>
      </c>
      <c r="AD31" s="541" t="e">
        <f t="shared" si="1"/>
        <v>#VALUE!</v>
      </c>
      <c r="AE31" s="541">
        <f t="shared" si="7"/>
        <v>0</v>
      </c>
      <c r="AF31" s="543" t="str">
        <f t="shared" si="4"/>
        <v/>
      </c>
      <c r="AG31" s="544" t="str">
        <f t="shared" si="5"/>
        <v/>
      </c>
    </row>
    <row r="32" spans="2:33" s="1" customFormat="1" ht="20.100000000000001" customHeight="1" x14ac:dyDescent="0.15">
      <c r="O32" s="677"/>
      <c r="Z32" s="541">
        <f t="shared" si="0"/>
        <v>0</v>
      </c>
      <c r="AA32" s="541">
        <v>36</v>
      </c>
      <c r="AB32" s="588" t="s">
        <v>496</v>
      </c>
      <c r="AC32" s="542" t="s">
        <v>497</v>
      </c>
      <c r="AD32" s="541" t="e">
        <f t="shared" si="1"/>
        <v>#VALUE!</v>
      </c>
      <c r="AE32" s="541">
        <f t="shared" si="7"/>
        <v>0</v>
      </c>
      <c r="AF32" s="543" t="str">
        <f t="shared" si="4"/>
        <v/>
      </c>
      <c r="AG32" s="544" t="str">
        <f t="shared" si="5"/>
        <v/>
      </c>
    </row>
    <row r="33" spans="1:33" s="1" customFormat="1" ht="20.100000000000001" customHeight="1" x14ac:dyDescent="0.15">
      <c r="O33" s="677"/>
      <c r="Z33" s="541">
        <f t="shared" si="0"/>
        <v>0</v>
      </c>
      <c r="AA33" s="541">
        <v>36</v>
      </c>
      <c r="AB33" s="566" t="s">
        <v>494</v>
      </c>
      <c r="AC33" s="542" t="s">
        <v>498</v>
      </c>
      <c r="AD33" s="541" t="e">
        <f t="shared" si="1"/>
        <v>#VALUE!</v>
      </c>
      <c r="AE33" s="541">
        <f t="shared" si="7"/>
        <v>0</v>
      </c>
      <c r="AF33" s="543" t="str">
        <f t="shared" si="4"/>
        <v/>
      </c>
      <c r="AG33" s="544" t="str">
        <f t="shared" si="5"/>
        <v/>
      </c>
    </row>
    <row r="34" spans="1:33" s="1" customFormat="1" ht="20.100000000000001" customHeight="1" x14ac:dyDescent="0.15">
      <c r="O34" s="677"/>
      <c r="Z34" s="541">
        <f t="shared" si="0"/>
        <v>0</v>
      </c>
      <c r="AA34" s="541">
        <v>34</v>
      </c>
      <c r="AB34" s="566" t="s">
        <v>494</v>
      </c>
      <c r="AC34" s="542" t="s">
        <v>499</v>
      </c>
      <c r="AD34" s="541" t="e">
        <f t="shared" si="1"/>
        <v>#VALUE!</v>
      </c>
      <c r="AE34" s="541">
        <f t="shared" si="7"/>
        <v>0</v>
      </c>
      <c r="AF34" s="543" t="str">
        <f t="shared" si="4"/>
        <v/>
      </c>
      <c r="AG34" s="544" t="str">
        <f t="shared" si="5"/>
        <v/>
      </c>
    </row>
    <row r="35" spans="1:33" s="1" customFormat="1" ht="20.100000000000001" customHeight="1" x14ac:dyDescent="0.15">
      <c r="D35" s="549"/>
      <c r="E35" s="549"/>
      <c r="F35" s="549"/>
      <c r="H35" s="549"/>
      <c r="Z35" s="541">
        <f t="shared" si="0"/>
        <v>0</v>
      </c>
      <c r="AA35" s="541">
        <v>32</v>
      </c>
      <c r="AB35" s="566" t="s">
        <v>494</v>
      </c>
      <c r="AC35" s="589" t="s">
        <v>500</v>
      </c>
      <c r="AD35" s="541" t="e">
        <f t="shared" si="1"/>
        <v>#VALUE!</v>
      </c>
      <c r="AE35" s="541">
        <f t="shared" si="7"/>
        <v>0</v>
      </c>
      <c r="AF35" s="543" t="str">
        <f>IF(OR(AE35=0,O10=3),"",AB35)</f>
        <v/>
      </c>
      <c r="AG35" s="544" t="str">
        <f>IF(OR(AE35=0,O10=3),"",IF(AE35=0,"",MID(AC35,AD35,4)))</f>
        <v/>
      </c>
    </row>
    <row r="36" spans="1:33" s="1" customFormat="1" ht="20.100000000000001" customHeight="1" x14ac:dyDescent="0.15">
      <c r="Z36" s="541">
        <f t="shared" si="0"/>
        <v>0</v>
      </c>
      <c r="AA36" s="541">
        <v>30</v>
      </c>
      <c r="AB36" s="566" t="s">
        <v>494</v>
      </c>
      <c r="AC36" s="542" t="s">
        <v>501</v>
      </c>
      <c r="AD36" s="541" t="e">
        <f t="shared" si="1"/>
        <v>#VALUE!</v>
      </c>
      <c r="AE36" s="541">
        <f t="shared" si="7"/>
        <v>0</v>
      </c>
      <c r="AF36" s="543" t="str">
        <f t="shared" ref="AF36:AF48" si="8">IF(AE36=0,"",AB36)</f>
        <v/>
      </c>
      <c r="AG36" s="544" t="str">
        <f t="shared" ref="AG36:AG41" si="9">IF(AE36=0,"",MID(AC36,AD36,4))</f>
        <v/>
      </c>
    </row>
    <row r="37" spans="1:33" s="549" customFormat="1" ht="20.100000000000001" customHeight="1" x14ac:dyDescent="0.15">
      <c r="A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541">
        <f t="shared" si="0"/>
        <v>0</v>
      </c>
      <c r="AA37" s="541">
        <v>28</v>
      </c>
      <c r="AB37" s="566" t="s">
        <v>494</v>
      </c>
      <c r="AC37" s="542" t="s">
        <v>504</v>
      </c>
      <c r="AD37" s="541" t="e">
        <f t="shared" si="1"/>
        <v>#VALUE!</v>
      </c>
      <c r="AE37" s="541">
        <f t="shared" si="7"/>
        <v>0</v>
      </c>
      <c r="AF37" s="543" t="str">
        <f t="shared" si="8"/>
        <v/>
      </c>
      <c r="AG37" s="544" t="str">
        <f t="shared" si="9"/>
        <v/>
      </c>
    </row>
    <row r="38" spans="1:33" s="549" customFormat="1" ht="20.100000000000001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541">
        <f t="shared" si="0"/>
        <v>0</v>
      </c>
      <c r="AA38" s="541">
        <v>26</v>
      </c>
      <c r="AB38" s="566" t="s">
        <v>494</v>
      </c>
      <c r="AC38" s="542" t="s">
        <v>509</v>
      </c>
      <c r="AD38" s="541" t="e">
        <f t="shared" si="1"/>
        <v>#VALUE!</v>
      </c>
      <c r="AE38" s="541">
        <f t="shared" si="7"/>
        <v>0</v>
      </c>
      <c r="AF38" s="543" t="str">
        <f t="shared" si="8"/>
        <v/>
      </c>
      <c r="AG38" s="544" t="str">
        <f t="shared" si="9"/>
        <v/>
      </c>
    </row>
    <row r="39" spans="1:33" s="549" customFormat="1" ht="20.100000000000001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541">
        <f t="shared" si="0"/>
        <v>0</v>
      </c>
      <c r="AA39" s="541">
        <v>24</v>
      </c>
      <c r="AB39" s="566" t="s">
        <v>494</v>
      </c>
      <c r="AC39" s="542" t="s">
        <v>510</v>
      </c>
      <c r="AD39" s="541" t="e">
        <f t="shared" si="1"/>
        <v>#VALUE!</v>
      </c>
      <c r="AE39" s="541">
        <f t="shared" si="7"/>
        <v>0</v>
      </c>
      <c r="AF39" s="543" t="str">
        <f t="shared" si="8"/>
        <v/>
      </c>
      <c r="AG39" s="544" t="str">
        <f t="shared" si="9"/>
        <v/>
      </c>
    </row>
    <row r="40" spans="1:33" s="549" customFormat="1" ht="20.100000000000001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541">
        <f t="shared" si="0"/>
        <v>0</v>
      </c>
      <c r="AA40" s="541">
        <v>32</v>
      </c>
      <c r="AB40" s="560" t="s">
        <v>513</v>
      </c>
      <c r="AC40" s="542" t="s">
        <v>514</v>
      </c>
      <c r="AD40" s="541" t="e">
        <f t="shared" si="1"/>
        <v>#VALUE!</v>
      </c>
      <c r="AE40" s="541">
        <f t="shared" si="7"/>
        <v>0</v>
      </c>
      <c r="AF40" s="543" t="str">
        <f t="shared" si="8"/>
        <v/>
      </c>
      <c r="AG40" s="544" t="str">
        <f t="shared" si="9"/>
        <v/>
      </c>
    </row>
    <row r="41" spans="1:33" s="549" customFormat="1" ht="20.100000000000001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541">
        <f t="shared" si="0"/>
        <v>0</v>
      </c>
      <c r="AA41" s="541">
        <v>28</v>
      </c>
      <c r="AB41" s="560" t="s">
        <v>513</v>
      </c>
      <c r="AC41" s="542" t="s">
        <v>516</v>
      </c>
      <c r="AD41" s="541" t="e">
        <f t="shared" si="1"/>
        <v>#VALUE!</v>
      </c>
      <c r="AE41" s="541">
        <f t="shared" si="7"/>
        <v>0</v>
      </c>
      <c r="AF41" s="543" t="str">
        <f t="shared" si="8"/>
        <v/>
      </c>
      <c r="AG41" s="544" t="str">
        <f t="shared" si="9"/>
        <v/>
      </c>
    </row>
    <row r="42" spans="1:33" s="549" customFormat="1" ht="20.100000000000001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541">
        <f t="shared" si="0"/>
        <v>0</v>
      </c>
      <c r="AA42" s="541">
        <v>26</v>
      </c>
      <c r="AB42" s="560" t="s">
        <v>513</v>
      </c>
      <c r="AC42" s="542" t="s">
        <v>518</v>
      </c>
      <c r="AD42" s="541" t="e">
        <f t="shared" si="1"/>
        <v>#VALUE!</v>
      </c>
      <c r="AE42" s="541">
        <f t="shared" si="7"/>
        <v>0</v>
      </c>
      <c r="AF42" s="543" t="str">
        <f t="shared" si="8"/>
        <v/>
      </c>
      <c r="AG42" s="544" t="str">
        <f>IF(AE42=0,"",MID(AC42,AD42,3))</f>
        <v/>
      </c>
    </row>
    <row r="43" spans="1:33" s="549" customFormat="1" ht="20.100000000000001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541">
        <f t="shared" si="0"/>
        <v>0</v>
      </c>
      <c r="AA43" s="541">
        <v>24</v>
      </c>
      <c r="AB43" s="560" t="s">
        <v>513</v>
      </c>
      <c r="AC43" s="542" t="s">
        <v>522</v>
      </c>
      <c r="AD43" s="541" t="e">
        <f t="shared" si="1"/>
        <v>#VALUE!</v>
      </c>
      <c r="AE43" s="541">
        <f t="shared" si="7"/>
        <v>0</v>
      </c>
      <c r="AF43" s="543" t="str">
        <f t="shared" si="8"/>
        <v/>
      </c>
      <c r="AG43" s="544" t="str">
        <f t="shared" ref="AG43:AG48" si="10">IF(AE43=0,"",MID(AC43,AD43,4))</f>
        <v/>
      </c>
    </row>
    <row r="44" spans="1:33" s="549" customFormat="1" ht="20.100000000000001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41">
        <f t="shared" si="0"/>
        <v>0</v>
      </c>
      <c r="AA44" s="541">
        <v>36</v>
      </c>
      <c r="AB44" s="566" t="s">
        <v>525</v>
      </c>
      <c r="AC44" s="542" t="s">
        <v>526</v>
      </c>
      <c r="AD44" s="541" t="e">
        <f t="shared" si="1"/>
        <v>#VALUE!</v>
      </c>
      <c r="AE44" s="541">
        <f t="shared" si="7"/>
        <v>0</v>
      </c>
      <c r="AF44" s="543" t="str">
        <f t="shared" si="8"/>
        <v/>
      </c>
      <c r="AG44" s="544" t="str">
        <f t="shared" si="10"/>
        <v/>
      </c>
    </row>
    <row r="45" spans="1:33" s="549" customFormat="1" ht="20.100000000000001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41">
        <f t="shared" si="0"/>
        <v>0</v>
      </c>
      <c r="AA45" s="541">
        <v>34</v>
      </c>
      <c r="AB45" s="566" t="s">
        <v>525</v>
      </c>
      <c r="AC45" s="542" t="s">
        <v>529</v>
      </c>
      <c r="AD45" s="541" t="e">
        <f t="shared" si="1"/>
        <v>#VALUE!</v>
      </c>
      <c r="AE45" s="541">
        <f t="shared" si="7"/>
        <v>0</v>
      </c>
      <c r="AF45" s="543" t="str">
        <f t="shared" si="8"/>
        <v/>
      </c>
      <c r="AG45" s="544" t="str">
        <f t="shared" si="10"/>
        <v/>
      </c>
    </row>
    <row r="46" spans="1:33" s="549" customFormat="1" ht="20.100000000000001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41">
        <f t="shared" si="0"/>
        <v>0</v>
      </c>
      <c r="AA46" s="541">
        <v>32</v>
      </c>
      <c r="AB46" s="566" t="s">
        <v>525</v>
      </c>
      <c r="AC46" s="542" t="s">
        <v>532</v>
      </c>
      <c r="AD46" s="541" t="e">
        <f t="shared" si="1"/>
        <v>#VALUE!</v>
      </c>
      <c r="AE46" s="541">
        <f t="shared" si="7"/>
        <v>0</v>
      </c>
      <c r="AF46" s="543" t="str">
        <f t="shared" si="8"/>
        <v/>
      </c>
      <c r="AG46" s="544" t="str">
        <f t="shared" si="10"/>
        <v/>
      </c>
    </row>
    <row r="47" spans="1:33" s="549" customFormat="1" ht="20.100000000000001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41">
        <f t="shared" si="0"/>
        <v>0</v>
      </c>
      <c r="AA47" s="541">
        <v>30</v>
      </c>
      <c r="AB47" s="566" t="s">
        <v>525</v>
      </c>
      <c r="AC47" s="542" t="s">
        <v>534</v>
      </c>
      <c r="AD47" s="541" t="e">
        <f t="shared" si="1"/>
        <v>#VALUE!</v>
      </c>
      <c r="AE47" s="541">
        <f t="shared" si="7"/>
        <v>0</v>
      </c>
      <c r="AF47" s="543" t="str">
        <f t="shared" si="8"/>
        <v/>
      </c>
      <c r="AG47" s="544" t="str">
        <f t="shared" si="10"/>
        <v/>
      </c>
    </row>
    <row r="48" spans="1:33" s="549" customFormat="1" ht="20.100000000000001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41">
        <f t="shared" si="0"/>
        <v>0</v>
      </c>
      <c r="AA48" s="541">
        <v>28</v>
      </c>
      <c r="AB48" s="566" t="s">
        <v>525</v>
      </c>
      <c r="AC48" s="542" t="s">
        <v>535</v>
      </c>
      <c r="AD48" s="541" t="e">
        <f t="shared" si="1"/>
        <v>#VALUE!</v>
      </c>
      <c r="AE48" s="541">
        <f t="shared" si="7"/>
        <v>0</v>
      </c>
      <c r="AF48" s="543" t="str">
        <f t="shared" si="8"/>
        <v/>
      </c>
      <c r="AG48" s="544" t="str">
        <f t="shared" si="10"/>
        <v/>
      </c>
    </row>
    <row r="49" spans="1:33" s="549" customFormat="1" ht="20.100000000000001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41">
        <f t="shared" si="0"/>
        <v>0</v>
      </c>
      <c r="AA49" s="541">
        <v>26</v>
      </c>
      <c r="AB49" s="566" t="s">
        <v>525</v>
      </c>
      <c r="AC49" s="542" t="s">
        <v>536</v>
      </c>
      <c r="AD49" s="541" t="e">
        <f t="shared" si="1"/>
        <v>#VALUE!</v>
      </c>
      <c r="AE49" s="541">
        <f t="shared" si="7"/>
        <v>0</v>
      </c>
      <c r="AF49" s="543" t="str">
        <f>IF(OR(AE49=0,O10=1),"",AB49)</f>
        <v/>
      </c>
      <c r="AG49" s="544" t="str">
        <f>IF(OR(AE49=0,O10=1),"",IF(AE49=0,"",MID(AC49,AD49,4)))</f>
        <v/>
      </c>
    </row>
    <row r="50" spans="1:33" s="547" customFormat="1" ht="20.100000000000001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541">
        <f t="shared" si="0"/>
        <v>0</v>
      </c>
      <c r="AA50" s="541">
        <v>24</v>
      </c>
      <c r="AB50" s="566" t="s">
        <v>525</v>
      </c>
      <c r="AC50" s="542" t="s">
        <v>539</v>
      </c>
      <c r="AD50" s="541" t="e">
        <f t="shared" si="1"/>
        <v>#VALUE!</v>
      </c>
      <c r="AE50" s="541">
        <f t="shared" si="7"/>
        <v>0</v>
      </c>
      <c r="AF50" s="543" t="str">
        <f>IF(AE50=0,"",AB50)</f>
        <v/>
      </c>
      <c r="AG50" s="544" t="str">
        <f>IF(AE50=0,"",MID(AC50,AD50,4))</f>
        <v/>
      </c>
    </row>
    <row r="51" spans="1:33" s="549" customFormat="1" ht="20.100000000000001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541">
        <f>ROUNDDOWN(COUNT(AD51),0)</f>
        <v>0</v>
      </c>
      <c r="AA51" s="541">
        <v>44</v>
      </c>
      <c r="AB51" s="541" t="s">
        <v>39</v>
      </c>
      <c r="AC51" s="542" t="s">
        <v>40</v>
      </c>
      <c r="AD51" s="541" t="e">
        <f t="shared" si="1"/>
        <v>#VALUE!</v>
      </c>
      <c r="AE51" s="541">
        <f t="shared" si="7"/>
        <v>0</v>
      </c>
      <c r="AF51" s="543" t="str">
        <f>IF(AE51=0,"",AB51)</f>
        <v/>
      </c>
      <c r="AG51" s="544" t="str">
        <f>IF(AE51=0,"",MID(AC51,AD51,4))</f>
        <v/>
      </c>
    </row>
    <row r="52" spans="1:33" s="549" customFormat="1" ht="20.100000000000001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619" t="str">
        <f>AF1&amp;AF2&amp;AF3&amp;AF4&amp;AF5&amp;AF6&amp;AF7&amp;AF8&amp;AF9&amp;AF10&amp;AF11&amp;AF12&amp;AF13&amp;AF14&amp;AF15&amp;AF16&amp;AF17&amp;AF18&amp;AF19&amp;AF20&amp;AF22&amp;AF23&amp;AF24&amp;AF25&amp;AF26&amp;AF27&amp;AF28&amp;AF29&amp;AF30&amp;AF31&amp;AF32&amp;AF33&amp;AF34&amp;AF35&amp;AF36&amp;AF37&amp;AF38&amp;AF39&amp;AF40&amp;AF41&amp;AF42&amp;AF43&amp;AF44&amp;AF45&amp;AF46&amp;AF47&amp;AF48&amp;AF49&amp;AF50&amp;AF51</f>
        <v>경기도</v>
      </c>
      <c r="AG52" s="619" t="str">
        <f>AG1&amp;AG2&amp;AG3&amp;AG4&amp;AG5&amp;AG6&amp;AG7&amp;AG8&amp;AG9&amp;AG10&amp;AG11&amp;AG12&amp;AG13&amp;AG14&amp;AG15&amp;AG16&amp;AG17&amp;AG18&amp;AG19&amp;AG20&amp;AG22&amp;AG23&amp;AG24&amp;AG25&amp;AG26&amp;AG27&amp;AG28&amp;AG29&amp;AG30&amp;AG31&amp;AG32&amp;AG33&amp;AG34&amp;AG35&amp;AG36&amp;AG37&amp;AG38&amp;AG39&amp;AG40&amp;AG41&amp;AG42&amp;AG43&amp;AG44&amp;AG45&amp;AG46&amp;AG47&amp;AG48&amp;AG49&amp;AG50&amp;AG51</f>
        <v xml:space="preserve">서울시 </v>
      </c>
    </row>
    <row r="53" spans="1:33" s="549" customFormat="1" ht="20.100000000000001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33" s="549" customFormat="1" ht="20.100000000000001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33" s="549" customFormat="1" ht="20.100000000000001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33" s="549" customFormat="1" ht="20.100000000000001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33" s="549" customFormat="1" ht="20.100000000000001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33" s="549" customFormat="1" ht="20.100000000000001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33" s="549" customFormat="1" ht="20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33" s="549" customFormat="1" ht="20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33" s="549" customFormat="1" ht="20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33" s="549" customFormat="1" ht="20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33" s="549" customFormat="1" ht="20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33" s="549" customFormat="1" ht="20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625" customFormat="1" ht="20.100000000000001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549" customFormat="1" ht="20.100000000000001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549" customFormat="1" ht="20.100000000000001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549" customFormat="1" ht="20.100000000000001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549" customFormat="1" ht="20.100000000000001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549" customFormat="1" ht="20.100000000000001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549" customFormat="1" ht="20.100000000000001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549" customFormat="1" ht="20.100000000000001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549" customFormat="1" ht="20.100000000000001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549" customFormat="1" ht="20.100000000000001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549" customFormat="1" ht="20.100000000000001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549" customFormat="1" ht="20.100000000000001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549" customFormat="1" ht="20.100000000000001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549" customFormat="1" ht="20.100000000000001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549" customFormat="1" ht="20.100000000000001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549" customFormat="1" ht="20.100000000000001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549" customFormat="1" ht="20.100000000000001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549" customFormat="1" ht="20.100000000000001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549" customFormat="1" ht="20.100000000000001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549" customFormat="1" ht="20.100000000000001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549" customFormat="1" ht="20.100000000000001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549" customFormat="1" ht="20.100000000000001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549" customFormat="1" ht="20.100000000000001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549" customFormat="1" ht="20.100000000000001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549" customFormat="1" ht="20.100000000000001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549" customFormat="1" ht="20.100000000000001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549" customFormat="1" ht="20.100000000000001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549" customFormat="1" ht="20.100000000000001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549" customFormat="1" ht="20.100000000000001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549" customFormat="1" ht="20.100000000000001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549" customFormat="1" ht="20.100000000000001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549" customFormat="1" ht="20.100000000000001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549" customFormat="1" ht="20.100000000000001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549" customFormat="1" ht="20.100000000000001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549" customFormat="1" ht="20.100000000000001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549" customFormat="1" ht="20.100000000000001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549" customFormat="1" ht="20.100000000000001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549" customFormat="1" ht="20.100000000000001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549" customFormat="1" ht="20.100000000000001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549" customFormat="1" ht="20.100000000000001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549" customFormat="1" ht="20.100000000000001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549" customFormat="1" ht="20.100000000000001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549" customFormat="1" ht="20.100000000000001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549" customFormat="1" ht="20.100000000000001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549" customFormat="1" ht="20.100000000000001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549" customFormat="1" ht="20.100000000000001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549" customFormat="1" ht="20.100000000000001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549" customFormat="1" ht="20.100000000000001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549" customFormat="1" ht="20.100000000000001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549" customFormat="1" ht="20.100000000000001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549" customFormat="1" ht="20.100000000000001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549" customFormat="1" ht="20.100000000000001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549" customFormat="1" ht="20.100000000000001" customHeight="1" x14ac:dyDescent="0.15"/>
    <row r="118" spans="1:25" s="549" customFormat="1" ht="20.100000000000001" customHeight="1" x14ac:dyDescent="0.15"/>
    <row r="119" spans="1:25" s="549" customFormat="1" ht="20.100000000000001" customHeight="1" x14ac:dyDescent="0.15"/>
    <row r="120" spans="1:25" s="549" customFormat="1" ht="20.100000000000001" customHeight="1" x14ac:dyDescent="0.15"/>
    <row r="121" spans="1:25" s="549" customFormat="1" ht="20.100000000000001" customHeight="1" x14ac:dyDescent="0.15"/>
    <row r="122" spans="1:25" s="549" customFormat="1" ht="20.100000000000001" customHeight="1" x14ac:dyDescent="0.15">
      <c r="B122" s="634"/>
    </row>
    <row r="123" spans="1:25" s="549" customFormat="1" ht="20.100000000000001" customHeight="1" x14ac:dyDescent="0.15"/>
    <row r="124" spans="1:25" s="549" customFormat="1" ht="20.100000000000001" customHeight="1" x14ac:dyDescent="0.15"/>
    <row r="125" spans="1:25" s="549" customFormat="1" ht="20.100000000000001" customHeight="1" x14ac:dyDescent="0.15"/>
    <row r="126" spans="1:25" s="549" customFormat="1" ht="20.100000000000001" customHeight="1" x14ac:dyDescent="0.15"/>
    <row r="127" spans="1:25" s="549" customFormat="1" ht="20.100000000000001" customHeight="1" x14ac:dyDescent="0.15"/>
    <row r="128" spans="1:25" s="549" customFormat="1" ht="20.100000000000001" customHeight="1" x14ac:dyDescent="0.15"/>
    <row r="129" spans="5:5" s="549" customFormat="1" ht="20.100000000000001" customHeight="1" x14ac:dyDescent="0.15"/>
    <row r="130" spans="5:5" s="549" customFormat="1" ht="20.100000000000001" customHeight="1" x14ac:dyDescent="0.15">
      <c r="E130" s="611"/>
    </row>
    <row r="131" spans="5:5" s="549" customFormat="1" ht="20.100000000000001" customHeight="1" x14ac:dyDescent="0.15">
      <c r="E131" s="611"/>
    </row>
    <row r="132" spans="5:5" s="549" customFormat="1" ht="20.100000000000001" customHeight="1" x14ac:dyDescent="0.15"/>
    <row r="133" spans="5:5" s="549" customFormat="1" ht="20.100000000000001" customHeight="1" x14ac:dyDescent="0.15"/>
    <row r="134" spans="5:5" s="549" customFormat="1" ht="20.100000000000001" customHeight="1" x14ac:dyDescent="0.15"/>
    <row r="135" spans="5:5" s="549" customFormat="1" ht="20.100000000000001" customHeight="1" x14ac:dyDescent="0.15"/>
    <row r="136" spans="5:5" s="549" customFormat="1" ht="20.100000000000001" customHeight="1" x14ac:dyDescent="0.15"/>
    <row r="137" spans="5:5" s="549" customFormat="1" ht="20.100000000000001" customHeight="1" x14ac:dyDescent="0.15"/>
    <row r="138" spans="5:5" s="549" customFormat="1" ht="20.100000000000001" customHeight="1" x14ac:dyDescent="0.15">
      <c r="E138" s="650"/>
    </row>
    <row r="139" spans="5:5" s="549" customFormat="1" ht="20.100000000000001" customHeight="1" x14ac:dyDescent="0.15"/>
    <row r="140" spans="5:5" s="549" customFormat="1" ht="20.100000000000001" customHeight="1" x14ac:dyDescent="0.15"/>
    <row r="141" spans="5:5" s="549" customFormat="1" ht="20.100000000000001" customHeight="1" x14ac:dyDescent="0.15"/>
    <row r="142" spans="5:5" s="549" customFormat="1" ht="20.100000000000001" customHeight="1" x14ac:dyDescent="0.15"/>
    <row r="143" spans="5:5" s="549" customFormat="1" ht="20.100000000000001" customHeight="1" x14ac:dyDescent="0.15"/>
    <row r="144" spans="5:5" s="549" customFormat="1" ht="20.100000000000001" customHeight="1" x14ac:dyDescent="0.15"/>
    <row r="145" s="651" customFormat="1" ht="20.100000000000001" customHeight="1" x14ac:dyDescent="0.15"/>
    <row r="146" s="651" customFormat="1" ht="20.100000000000001" customHeight="1" x14ac:dyDescent="0.15"/>
    <row r="147" s="651" customFormat="1" ht="20.100000000000001" customHeight="1" x14ac:dyDescent="0.15"/>
    <row r="148" s="651" customFormat="1" ht="20.100000000000001" customHeight="1" x14ac:dyDescent="0.15"/>
  </sheetData>
  <sheetProtection algorithmName="SHA-512" hashValue="YkuXF79AUI8c7RlzNFsCpTarluxNFtDpz55NcoO1efQd+1/ZcofHkSqzmS21Dseruth/Gfw92S50zkGzHVTOcA==" saltValue="UtFtz/zbCH379jgHHh7e/Q==" spinCount="100000" sheet="1" objects="1" scenarios="1" selectLockedCells="1"/>
  <mergeCells count="2">
    <mergeCell ref="R6:S6"/>
    <mergeCell ref="B1:M2"/>
  </mergeCells>
  <phoneticPr fontId="1" type="noConversion"/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0C45-158D-4D21-8F02-F7981511EA23}">
  <sheetPr codeName="Sheet16">
    <tabColor rgb="FFFFFF00"/>
  </sheetPr>
  <dimension ref="A1"/>
  <sheetViews>
    <sheetView zoomScale="75" zoomScaleNormal="75" workbookViewId="0"/>
  </sheetViews>
  <sheetFormatPr defaultRowHeight="13.5" x14ac:dyDescent="0.15"/>
  <sheetData/>
  <sheetProtection algorithmName="SHA-512" hashValue="Q8p62CUWPfTwE3MkNbWdK2g/7VsebAu7cpfA7BqIKDzwMuxIN4WNjl5OO/1wIwzFa9/UD4dFCLzH20/+khQMZQ==" saltValue="OuVz+AMZ31+KHH7s+Rr1dA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</sheetPr>
  <dimension ref="A1:AA159"/>
  <sheetViews>
    <sheetView view="pageBreakPreview" zoomScale="75" zoomScaleNormal="100" zoomScaleSheetLayoutView="75" workbookViewId="0">
      <selection activeCell="D7" sqref="D7"/>
    </sheetView>
  </sheetViews>
  <sheetFormatPr defaultRowHeight="15.95" customHeight="1" x14ac:dyDescent="0.15"/>
  <cols>
    <col min="1" max="1" width="2.77734375" style="8" customWidth="1"/>
    <col min="2" max="2" width="7.33203125" style="8" customWidth="1"/>
    <col min="3" max="3" width="5.33203125" style="8" customWidth="1"/>
    <col min="4" max="4" width="9.33203125" style="8" customWidth="1"/>
    <col min="5" max="5" width="5.33203125" style="8" customWidth="1"/>
    <col min="6" max="6" width="9.33203125" style="8" customWidth="1"/>
    <col min="7" max="8" width="7.33203125" style="8" customWidth="1"/>
    <col min="9" max="9" width="5.33203125" style="8" customWidth="1"/>
    <col min="10" max="10" width="9.33203125" style="8" customWidth="1"/>
    <col min="11" max="11" width="7.33203125" style="8" customWidth="1"/>
    <col min="12" max="12" width="2.77734375" style="8" customWidth="1"/>
    <col min="13" max="13" width="6.77734375" style="8" customWidth="1"/>
    <col min="14" max="14" width="8.88671875" style="8" customWidth="1"/>
    <col min="15" max="15" width="10.6640625" style="8" customWidth="1"/>
    <col min="16" max="16" width="9.77734375" style="8" customWidth="1"/>
    <col min="17" max="17" width="6.77734375" style="8" customWidth="1"/>
    <col min="18" max="18" width="8.77734375" style="8" customWidth="1"/>
    <col min="19" max="20" width="6.77734375" style="8" customWidth="1"/>
    <col min="21" max="21" width="9.77734375" style="8" customWidth="1"/>
    <col min="22" max="22" width="8.88671875" style="22"/>
    <col min="23" max="23" width="5.77734375" style="8" customWidth="1"/>
    <col min="24" max="24" width="5.77734375" style="22" customWidth="1"/>
    <col min="25" max="25" width="5.77734375" style="8" customWidth="1"/>
    <col min="26" max="26" width="5.77734375" style="22" customWidth="1"/>
    <col min="27" max="27" width="9.6640625" style="8" customWidth="1"/>
    <col min="28" max="16384" width="8.88671875" style="8"/>
  </cols>
  <sheetData>
    <row r="1" spans="1:27" ht="15.95" customHeight="1" x14ac:dyDescent="0.15">
      <c r="A1" s="60" t="s">
        <v>233</v>
      </c>
    </row>
    <row r="3" spans="1:27" ht="15.95" customHeight="1" x14ac:dyDescent="0.15">
      <c r="B3" s="61" t="s">
        <v>102</v>
      </c>
    </row>
    <row r="4" spans="1:27" ht="15.95" customHeight="1" x14ac:dyDescent="0.15">
      <c r="V4" s="64" t="s">
        <v>200</v>
      </c>
      <c r="W4" s="8">
        <f>W18*Y18</f>
        <v>60</v>
      </c>
      <c r="X4" s="64" t="s">
        <v>201</v>
      </c>
      <c r="Y4" s="8">
        <f>Y18/2</f>
        <v>15</v>
      </c>
      <c r="Z4" s="64" t="s">
        <v>202</v>
      </c>
      <c r="AA4" s="8">
        <f>W17+Y16/2</f>
        <v>30</v>
      </c>
    </row>
    <row r="5" spans="1:27" ht="15.95" customHeight="1" x14ac:dyDescent="0.15">
      <c r="B5" s="62" t="s">
        <v>103</v>
      </c>
      <c r="C5" s="4" t="s">
        <v>4</v>
      </c>
      <c r="D5" s="26">
        <f>(SUMPRODUCT((N8:N10=N7)*(O7:P7=M7),O8:P10))</f>
        <v>0</v>
      </c>
      <c r="E5" s="27" t="s">
        <v>560</v>
      </c>
      <c r="H5" s="20" t="s">
        <v>113</v>
      </c>
      <c r="I5" s="33"/>
      <c r="M5" s="22"/>
      <c r="P5" s="2"/>
      <c r="Q5" s="2"/>
      <c r="V5" s="64" t="s">
        <v>203</v>
      </c>
      <c r="W5" s="8">
        <f>Y16*W16</f>
        <v>112</v>
      </c>
      <c r="X5" s="64" t="s">
        <v>204</v>
      </c>
      <c r="Y5" s="8">
        <f>Y18+W16/2</f>
        <v>31</v>
      </c>
      <c r="Z5" s="64" t="s">
        <v>205</v>
      </c>
      <c r="AA5" s="8">
        <f>W17+Y16/2</f>
        <v>30</v>
      </c>
    </row>
    <row r="6" spans="1:27" ht="15.95" customHeight="1" x14ac:dyDescent="0.15">
      <c r="B6" s="62" t="s">
        <v>235</v>
      </c>
      <c r="C6" s="4" t="s">
        <v>4</v>
      </c>
      <c r="D6" s="147">
        <f>710100/100*9.80665</f>
        <v>69637.021649999995</v>
      </c>
      <c r="E6" s="27" t="s">
        <v>1241</v>
      </c>
      <c r="F6" s="64" t="s">
        <v>236</v>
      </c>
      <c r="G6" s="684">
        <v>5</v>
      </c>
      <c r="H6" s="20" t="s">
        <v>248</v>
      </c>
      <c r="I6" s="27"/>
      <c r="M6" s="782" t="s">
        <v>651</v>
      </c>
      <c r="N6" s="782"/>
      <c r="O6" s="163"/>
      <c r="P6" s="164"/>
      <c r="Q6" s="2"/>
      <c r="V6" s="64" t="s">
        <v>206</v>
      </c>
      <c r="W6" s="8">
        <f>Y16*W16</f>
        <v>112</v>
      </c>
      <c r="X6" s="64" t="s">
        <v>207</v>
      </c>
      <c r="Y6" s="8">
        <f>Y18+(Y17-W16)+W16/2</f>
        <v>149</v>
      </c>
      <c r="Z6" s="64" t="s">
        <v>208</v>
      </c>
      <c r="AA6" s="8">
        <f>W17+Y16/2</f>
        <v>30</v>
      </c>
    </row>
    <row r="7" spans="1:27" ht="15.95" customHeight="1" x14ac:dyDescent="0.15">
      <c r="B7" s="62" t="s">
        <v>104</v>
      </c>
      <c r="C7" s="4" t="s">
        <v>4</v>
      </c>
      <c r="D7" s="683">
        <v>1200</v>
      </c>
      <c r="E7" s="27" t="s">
        <v>562</v>
      </c>
      <c r="H7" s="20" t="s">
        <v>114</v>
      </c>
      <c r="M7" s="685" t="s">
        <v>649</v>
      </c>
      <c r="N7" s="686">
        <v>1</v>
      </c>
      <c r="O7" s="160" t="s">
        <v>649</v>
      </c>
      <c r="P7" s="160" t="s">
        <v>650</v>
      </c>
      <c r="V7" s="64" t="s">
        <v>209</v>
      </c>
      <c r="W7" s="8">
        <f>Y17*W17</f>
        <v>240</v>
      </c>
      <c r="X7" s="64" t="s">
        <v>210</v>
      </c>
      <c r="Y7" s="8">
        <f>Y18+Y17/2</f>
        <v>90</v>
      </c>
      <c r="Z7" s="64" t="s">
        <v>211</v>
      </c>
      <c r="AA7" s="8">
        <f>W17/2</f>
        <v>1</v>
      </c>
    </row>
    <row r="8" spans="1:27" ht="15.95" customHeight="1" x14ac:dyDescent="0.15">
      <c r="B8" s="62" t="s">
        <v>105</v>
      </c>
      <c r="C8" s="4" t="s">
        <v>4</v>
      </c>
      <c r="D8" s="683">
        <v>1200</v>
      </c>
      <c r="E8" s="27" t="s">
        <v>562</v>
      </c>
      <c r="H8" s="20" t="s">
        <v>115</v>
      </c>
      <c r="M8" s="165" t="s">
        <v>557</v>
      </c>
      <c r="N8" s="161">
        <v>1</v>
      </c>
      <c r="O8" s="162" t="str">
        <f>'WIND LOAD'!T7</f>
        <v>-</v>
      </c>
      <c r="P8" s="162">
        <f>'WIND LOAD'!U7</f>
        <v>0.96</v>
      </c>
      <c r="V8" s="64" t="s">
        <v>212</v>
      </c>
      <c r="W8" s="8">
        <f>Y17*W17</f>
        <v>240</v>
      </c>
      <c r="X8" s="64" t="s">
        <v>213</v>
      </c>
      <c r="Y8" s="8">
        <f>Y18+Y17/2</f>
        <v>90</v>
      </c>
      <c r="Z8" s="64" t="s">
        <v>214</v>
      </c>
      <c r="AA8" s="8">
        <f>W17+Y16+W17/2</f>
        <v>59</v>
      </c>
    </row>
    <row r="9" spans="1:27" ht="15.95" customHeight="1" x14ac:dyDescent="0.15">
      <c r="B9" s="64" t="s">
        <v>440</v>
      </c>
      <c r="C9" s="4" t="s">
        <v>4</v>
      </c>
      <c r="D9" s="683">
        <v>5000</v>
      </c>
      <c r="E9" s="27" t="s">
        <v>562</v>
      </c>
      <c r="H9" s="20" t="s">
        <v>449</v>
      </c>
      <c r="I9" s="27"/>
      <c r="M9" s="165" t="s">
        <v>558</v>
      </c>
      <c r="N9" s="161">
        <v>2</v>
      </c>
      <c r="O9" s="162" t="str">
        <f>'WIND LOAD'!T8</f>
        <v>-</v>
      </c>
      <c r="P9" s="162">
        <f>'WIND LOAD'!U8</f>
        <v>-0.82599999999999996</v>
      </c>
      <c r="V9" s="64"/>
      <c r="X9" s="64"/>
      <c r="Z9" s="64"/>
    </row>
    <row r="10" spans="1:27" ht="15.95" customHeight="1" x14ac:dyDescent="0.15">
      <c r="B10" s="64" t="s">
        <v>441</v>
      </c>
      <c r="C10" s="4" t="s">
        <v>4</v>
      </c>
      <c r="D10" s="683">
        <v>2600</v>
      </c>
      <c r="E10" s="27" t="s">
        <v>562</v>
      </c>
      <c r="H10" s="20" t="s">
        <v>116</v>
      </c>
      <c r="M10" s="165" t="s">
        <v>559</v>
      </c>
      <c r="N10" s="161">
        <v>3</v>
      </c>
      <c r="O10" s="162" t="str">
        <f>'WIND LOAD'!T9</f>
        <v>-</v>
      </c>
      <c r="P10" s="162">
        <f>'WIND LOAD'!U9</f>
        <v>-0.98899999999999999</v>
      </c>
      <c r="V10" s="64" t="s">
        <v>215</v>
      </c>
      <c r="W10" s="8">
        <f>Y4-AA12</f>
        <v>-69.109947643979055</v>
      </c>
      <c r="X10" s="64" t="s">
        <v>216</v>
      </c>
      <c r="Y10" s="8">
        <f>AA4-AA13</f>
        <v>0</v>
      </c>
      <c r="Z10" s="64" t="s">
        <v>217</v>
      </c>
      <c r="AA10" s="8">
        <f>W4*Y4+W5*Y5+W6*Y6+W7*Y7+W8*Y8</f>
        <v>64260</v>
      </c>
    </row>
    <row r="11" spans="1:27" ht="15.95" customHeight="1" x14ac:dyDescent="0.15">
      <c r="V11" s="64" t="s">
        <v>219</v>
      </c>
      <c r="W11" s="8">
        <f>Y5-AA12</f>
        <v>-53.109947643979055</v>
      </c>
      <c r="X11" s="64" t="s">
        <v>220</v>
      </c>
      <c r="Y11" s="8">
        <f>AA5-AA13</f>
        <v>0</v>
      </c>
      <c r="Z11" s="64" t="s">
        <v>221</v>
      </c>
      <c r="AA11" s="8">
        <f>W4*AA4+W5*AA5+W6*AA6+W7*AA7+W8*AA8</f>
        <v>22920</v>
      </c>
    </row>
    <row r="12" spans="1:27" ht="15.95" customHeight="1" x14ac:dyDescent="0.15">
      <c r="V12" s="64" t="s">
        <v>222</v>
      </c>
      <c r="W12" s="8">
        <f>Y6-AA12</f>
        <v>64.890052356020945</v>
      </c>
      <c r="X12" s="64" t="s">
        <v>223</v>
      </c>
      <c r="Y12" s="8">
        <f>AA6-AA13</f>
        <v>0</v>
      </c>
      <c r="Z12" s="64" t="s">
        <v>224</v>
      </c>
      <c r="AA12" s="8">
        <f>AA10/(W4+W5+W6+W7+W8)</f>
        <v>84.109947643979055</v>
      </c>
    </row>
    <row r="13" spans="1:27" ht="15.95" customHeight="1" x14ac:dyDescent="0.15">
      <c r="M13" s="140"/>
      <c r="N13" s="786"/>
      <c r="O13" s="786"/>
      <c r="V13" s="64" t="s">
        <v>225</v>
      </c>
      <c r="W13" s="8">
        <f>Y7-AA12</f>
        <v>5.890052356020945</v>
      </c>
      <c r="X13" s="64" t="s">
        <v>226</v>
      </c>
      <c r="Y13" s="8">
        <f>AA7-AA13</f>
        <v>-29</v>
      </c>
      <c r="Z13" s="64" t="s">
        <v>227</v>
      </c>
      <c r="AA13" s="8">
        <f>AA11/(W4+W5+W6+W7+W8)</f>
        <v>30</v>
      </c>
    </row>
    <row r="14" spans="1:27" ht="15.95" customHeight="1" x14ac:dyDescent="0.15">
      <c r="B14" s="20" t="s">
        <v>109</v>
      </c>
      <c r="C14" s="4" t="s">
        <v>4</v>
      </c>
      <c r="D14" s="147">
        <f>D84</f>
        <v>0</v>
      </c>
      <c r="E14" s="27" t="s">
        <v>615</v>
      </c>
      <c r="F14" s="20"/>
      <c r="H14" s="137" t="s">
        <v>110</v>
      </c>
      <c r="I14" s="4" t="s">
        <v>4</v>
      </c>
      <c r="J14" s="92">
        <f>D130</f>
        <v>0</v>
      </c>
      <c r="K14" s="67" t="str">
        <f>IF(J14&lt;1,"O.K","N.G")</f>
        <v>O.K</v>
      </c>
      <c r="M14" s="140"/>
      <c r="N14" s="786"/>
      <c r="O14" s="786"/>
      <c r="V14" s="64" t="s">
        <v>228</v>
      </c>
      <c r="W14" s="8">
        <f>Y8-AA12</f>
        <v>5.890052356020945</v>
      </c>
      <c r="X14" s="64" t="s">
        <v>229</v>
      </c>
      <c r="Y14" s="8">
        <f>AA8-AA13</f>
        <v>29</v>
      </c>
      <c r="Z14" s="64" t="s">
        <v>230</v>
      </c>
      <c r="AA14" s="8">
        <f>((W18*Y18*Y18*Y18)/12+W4*W10*W10)+((Y16*W16*W16*W16)/12+W5*W11*W11)+((Y16*W16*W16*W16)/12+W6*W12*W12)+((W17*Y17*Y17*Y17)/12+W7*W13*W13)+((W17*Y17*Y17*Y17)/12+W8*W14*W14)</f>
        <v>1671313.4310645724</v>
      </c>
    </row>
    <row r="15" spans="1:27" ht="15.95" customHeight="1" x14ac:dyDescent="0.15">
      <c r="Z15" s="64" t="s">
        <v>231</v>
      </c>
      <c r="AA15" s="8">
        <f>((Y18*W18*W18*W18)/12+W4*Y10*Y10)+((W16*Y16*Y16*Y16)/12+W5*Y11*Y11)+((W16*Y16*Y16*Y16)/12+W6*Y12*Y12)+((Y17*W17*W17*W17)/12+W7*Y13*Y13)+((Y17*W17*W17*W17)/12+W8*Y14*Y14)</f>
        <v>462398.66666666663</v>
      </c>
    </row>
    <row r="16" spans="1:27" ht="15.95" customHeight="1" x14ac:dyDescent="0.15">
      <c r="B16" s="20" t="s">
        <v>165</v>
      </c>
      <c r="C16" s="4" t="s">
        <v>4</v>
      </c>
      <c r="D16" s="63">
        <f>D87</f>
        <v>0</v>
      </c>
      <c r="E16" s="27" t="s">
        <v>562</v>
      </c>
      <c r="F16" s="20"/>
      <c r="V16" s="64" t="s">
        <v>566</v>
      </c>
      <c r="W16" s="8">
        <f>O26</f>
        <v>2</v>
      </c>
      <c r="X16" s="64" t="s">
        <v>121</v>
      </c>
      <c r="Y16" s="8">
        <f>O30</f>
        <v>56</v>
      </c>
    </row>
    <row r="17" spans="2:25" ht="15.95" customHeight="1" x14ac:dyDescent="0.15">
      <c r="B17" s="20" t="s">
        <v>588</v>
      </c>
      <c r="C17" s="4" t="s">
        <v>4</v>
      </c>
      <c r="D17" s="63">
        <f>D150</f>
        <v>27.18333333333333</v>
      </c>
      <c r="E17" s="27" t="s">
        <v>562</v>
      </c>
      <c r="H17" s="64" t="s">
        <v>112</v>
      </c>
      <c r="I17" s="4" t="s">
        <v>4</v>
      </c>
      <c r="J17" s="92">
        <f>D155</f>
        <v>0</v>
      </c>
      <c r="K17" s="67" t="str">
        <f>IF(J17&lt;1,"O.K","N.G")</f>
        <v>O.K</v>
      </c>
      <c r="V17" s="64" t="s">
        <v>565</v>
      </c>
      <c r="W17" s="8">
        <f>O27</f>
        <v>2</v>
      </c>
      <c r="X17" s="64" t="s">
        <v>567</v>
      </c>
      <c r="Y17" s="8">
        <f>O24</f>
        <v>120</v>
      </c>
    </row>
    <row r="18" spans="2:25" ht="15.95" customHeight="1" x14ac:dyDescent="0.15">
      <c r="V18" s="64" t="s">
        <v>571</v>
      </c>
      <c r="W18" s="8">
        <f>O28</f>
        <v>2</v>
      </c>
      <c r="X18" s="64" t="s">
        <v>568</v>
      </c>
      <c r="Y18" s="8">
        <f>O25</f>
        <v>30</v>
      </c>
    </row>
    <row r="19" spans="2:25" ht="15.95" customHeight="1" x14ac:dyDescent="0.15">
      <c r="B19" s="62"/>
      <c r="C19" s="66"/>
      <c r="D19" s="4"/>
    </row>
    <row r="20" spans="2:25" ht="15.95" customHeight="1" x14ac:dyDescent="0.15">
      <c r="B20" s="61" t="s">
        <v>122</v>
      </c>
      <c r="E20" s="33"/>
      <c r="H20" s="61" t="s">
        <v>589</v>
      </c>
      <c r="J20" s="682">
        <v>1</v>
      </c>
      <c r="N20" s="8" t="s">
        <v>578</v>
      </c>
      <c r="Q20" s="4" t="s">
        <v>65</v>
      </c>
    </row>
    <row r="21" spans="2:25" ht="15.95" customHeight="1" thickBot="1" x14ac:dyDescent="0.2">
      <c r="K21" s="65"/>
      <c r="L21" s="65"/>
      <c r="M21" s="65"/>
    </row>
    <row r="22" spans="2:25" ht="15.95" customHeight="1" thickBot="1" x14ac:dyDescent="0.2">
      <c r="B22" s="121"/>
      <c r="C22" s="122"/>
      <c r="D22" s="122"/>
      <c r="E22" s="122"/>
      <c r="F22" s="122"/>
      <c r="G22" s="784"/>
      <c r="H22" s="784"/>
      <c r="I22" s="784"/>
      <c r="J22" s="784"/>
      <c r="K22" s="785"/>
      <c r="N22" s="121" t="s">
        <v>333</v>
      </c>
      <c r="O22" s="122"/>
      <c r="P22" s="122"/>
      <c r="Q22" s="121" t="s">
        <v>334</v>
      </c>
      <c r="R22" s="122"/>
      <c r="S22" s="123"/>
    </row>
    <row r="23" spans="2:25" ht="15.95" customHeight="1" x14ac:dyDescent="0.15">
      <c r="B23" s="75"/>
      <c r="G23" s="786"/>
      <c r="H23" s="786"/>
      <c r="I23" s="786"/>
      <c r="J23" s="786"/>
      <c r="K23" s="787"/>
      <c r="N23" s="68" t="s">
        <v>57</v>
      </c>
      <c r="O23" s="687">
        <v>60</v>
      </c>
      <c r="P23" s="129" t="s">
        <v>572</v>
      </c>
      <c r="Q23" s="68" t="s">
        <v>57</v>
      </c>
      <c r="R23" s="687">
        <v>60</v>
      </c>
      <c r="S23" s="69" t="s">
        <v>572</v>
      </c>
    </row>
    <row r="24" spans="2:25" ht="15.95" customHeight="1" x14ac:dyDescent="0.15">
      <c r="B24" s="75"/>
      <c r="G24" s="786"/>
      <c r="H24" s="786"/>
      <c r="I24" s="786"/>
      <c r="J24" s="786"/>
      <c r="K24" s="787"/>
      <c r="N24" s="55" t="s">
        <v>244</v>
      </c>
      <c r="O24" s="688">
        <v>120</v>
      </c>
      <c r="P24" s="27" t="s">
        <v>572</v>
      </c>
      <c r="Q24" s="55" t="s">
        <v>244</v>
      </c>
      <c r="R24" s="688">
        <v>120</v>
      </c>
      <c r="S24" s="70" t="s">
        <v>572</v>
      </c>
    </row>
    <row r="25" spans="2:25" ht="15.95" customHeight="1" x14ac:dyDescent="0.15">
      <c r="B25" s="75"/>
      <c r="G25" s="786"/>
      <c r="H25" s="786"/>
      <c r="I25" s="786"/>
      <c r="J25" s="786"/>
      <c r="K25" s="787"/>
      <c r="N25" s="55" t="s">
        <v>249</v>
      </c>
      <c r="O25" s="688">
        <v>30</v>
      </c>
      <c r="P25" s="27" t="s">
        <v>572</v>
      </c>
      <c r="Q25" s="75"/>
      <c r="R25" s="689"/>
      <c r="S25" s="94"/>
    </row>
    <row r="26" spans="2:25" ht="15.95" customHeight="1" x14ac:dyDescent="0.15">
      <c r="B26" s="75"/>
      <c r="G26" s="786"/>
      <c r="H26" s="786"/>
      <c r="I26" s="786"/>
      <c r="J26" s="786"/>
      <c r="K26" s="787"/>
      <c r="N26" s="55" t="s">
        <v>118</v>
      </c>
      <c r="O26" s="688">
        <v>2</v>
      </c>
      <c r="P26" s="27" t="s">
        <v>572</v>
      </c>
      <c r="Q26" s="55" t="s">
        <v>118</v>
      </c>
      <c r="R26" s="688">
        <v>2</v>
      </c>
      <c r="S26" s="70" t="s">
        <v>572</v>
      </c>
    </row>
    <row r="27" spans="2:25" ht="15.95" customHeight="1" x14ac:dyDescent="0.15">
      <c r="B27" s="75"/>
      <c r="G27" s="786"/>
      <c r="H27" s="786"/>
      <c r="I27" s="786"/>
      <c r="J27" s="786"/>
      <c r="K27" s="787"/>
      <c r="N27" s="55" t="s">
        <v>570</v>
      </c>
      <c r="O27" s="688">
        <v>2</v>
      </c>
      <c r="P27" s="27" t="s">
        <v>572</v>
      </c>
      <c r="Q27" s="55" t="s">
        <v>119</v>
      </c>
      <c r="R27" s="690">
        <v>2</v>
      </c>
      <c r="S27" s="70" t="s">
        <v>572</v>
      </c>
    </row>
    <row r="28" spans="2:25" ht="15.95" customHeight="1" thickBot="1" x14ac:dyDescent="0.2">
      <c r="B28" s="75"/>
      <c r="G28" s="786"/>
      <c r="H28" s="786"/>
      <c r="I28" s="786"/>
      <c r="J28" s="786"/>
      <c r="K28" s="787"/>
      <c r="N28" s="55" t="s">
        <v>237</v>
      </c>
      <c r="O28" s="688">
        <v>2</v>
      </c>
      <c r="P28" s="27" t="s">
        <v>572</v>
      </c>
      <c r="Q28" s="75"/>
      <c r="R28" s="689"/>
      <c r="S28" s="94"/>
    </row>
    <row r="29" spans="2:25" ht="15.95" customHeight="1" x14ac:dyDescent="0.15">
      <c r="B29" s="75"/>
      <c r="G29" s="786"/>
      <c r="H29" s="786"/>
      <c r="I29" s="786"/>
      <c r="J29" s="786"/>
      <c r="K29" s="787"/>
      <c r="N29" s="68" t="s">
        <v>241</v>
      </c>
      <c r="O29" s="126">
        <f>O24+O25</f>
        <v>150</v>
      </c>
      <c r="P29" s="69" t="s">
        <v>562</v>
      </c>
      <c r="Q29" s="75"/>
      <c r="R29" s="689"/>
      <c r="S29" s="94"/>
    </row>
    <row r="30" spans="2:25" ht="15.95" customHeight="1" x14ac:dyDescent="0.15">
      <c r="B30" s="75"/>
      <c r="G30" s="786"/>
      <c r="H30" s="786"/>
      <c r="I30" s="786"/>
      <c r="J30" s="786"/>
      <c r="K30" s="787"/>
      <c r="N30" s="55" t="s">
        <v>121</v>
      </c>
      <c r="O30" s="7">
        <f>O23-2*O27</f>
        <v>56</v>
      </c>
      <c r="P30" s="27" t="s">
        <v>562</v>
      </c>
      <c r="Q30" s="75"/>
      <c r="R30" s="689"/>
      <c r="S30" s="94"/>
    </row>
    <row r="31" spans="2:25" ht="15.95" customHeight="1" x14ac:dyDescent="0.15">
      <c r="B31" s="75"/>
      <c r="G31" s="786"/>
      <c r="H31" s="786"/>
      <c r="I31" s="786"/>
      <c r="J31" s="786"/>
      <c r="K31" s="787"/>
      <c r="N31" s="55" t="s">
        <v>238</v>
      </c>
      <c r="O31" s="7">
        <f>AA14</f>
        <v>1671313.4310645724</v>
      </c>
      <c r="P31" s="27" t="s">
        <v>573</v>
      </c>
      <c r="Q31" s="55" t="s">
        <v>238</v>
      </c>
      <c r="R31" s="688">
        <v>1671313.43</v>
      </c>
      <c r="S31" s="70" t="s">
        <v>573</v>
      </c>
    </row>
    <row r="32" spans="2:25" ht="15.95" customHeight="1" x14ac:dyDescent="0.15">
      <c r="B32" s="75"/>
      <c r="G32" s="786"/>
      <c r="H32" s="786"/>
      <c r="I32" s="786"/>
      <c r="J32" s="786"/>
      <c r="K32" s="787"/>
      <c r="N32" s="55" t="s">
        <v>239</v>
      </c>
      <c r="O32" s="7">
        <f>AA15</f>
        <v>462398.66666666663</v>
      </c>
      <c r="P32" s="27" t="s">
        <v>573</v>
      </c>
      <c r="Q32" s="55" t="s">
        <v>239</v>
      </c>
      <c r="R32" s="688">
        <v>462398.67</v>
      </c>
      <c r="S32" s="70" t="s">
        <v>573</v>
      </c>
    </row>
    <row r="33" spans="1:21" ht="15.95" customHeight="1" x14ac:dyDescent="0.15">
      <c r="B33" s="75"/>
      <c r="G33" s="786"/>
      <c r="H33" s="786"/>
      <c r="I33" s="786"/>
      <c r="J33" s="786"/>
      <c r="K33" s="787"/>
      <c r="N33" s="55" t="s">
        <v>1092</v>
      </c>
      <c r="O33" s="7">
        <f>AA13</f>
        <v>30</v>
      </c>
      <c r="P33" s="27" t="s">
        <v>562</v>
      </c>
      <c r="Q33" s="55" t="s">
        <v>1092</v>
      </c>
      <c r="R33" s="688">
        <v>30</v>
      </c>
      <c r="S33" s="70" t="s">
        <v>572</v>
      </c>
    </row>
    <row r="34" spans="1:21" ht="15.95" customHeight="1" x14ac:dyDescent="0.15">
      <c r="B34" s="55" t="s">
        <v>241</v>
      </c>
      <c r="C34" s="4" t="s">
        <v>4</v>
      </c>
      <c r="D34" s="146">
        <f>IF($J$20=1, O29,Q20)</f>
        <v>150</v>
      </c>
      <c r="E34" s="27" t="s">
        <v>572</v>
      </c>
      <c r="F34" s="73"/>
      <c r="G34" s="786"/>
      <c r="H34" s="786"/>
      <c r="I34" s="786"/>
      <c r="J34" s="786"/>
      <c r="K34" s="787"/>
      <c r="N34" s="55" t="s">
        <v>1093</v>
      </c>
      <c r="O34" s="7">
        <f>AA12</f>
        <v>84.109947643979055</v>
      </c>
      <c r="P34" s="27" t="s">
        <v>562</v>
      </c>
      <c r="Q34" s="55" t="s">
        <v>1093</v>
      </c>
      <c r="R34" s="688">
        <v>84.11</v>
      </c>
      <c r="S34" s="70" t="s">
        <v>572</v>
      </c>
    </row>
    <row r="35" spans="1:21" ht="15.95" customHeight="1" x14ac:dyDescent="0.15">
      <c r="B35" s="55" t="s">
        <v>57</v>
      </c>
      <c r="C35" s="4" t="s">
        <v>4</v>
      </c>
      <c r="D35" s="146">
        <f>IF($J$20=1, O23,Q20)</f>
        <v>60</v>
      </c>
      <c r="E35" s="27" t="s">
        <v>572</v>
      </c>
      <c r="G35" s="786"/>
      <c r="H35" s="786"/>
      <c r="I35" s="786"/>
      <c r="J35" s="786"/>
      <c r="K35" s="787"/>
      <c r="N35" s="55" t="s">
        <v>240</v>
      </c>
      <c r="O35" s="7">
        <f>O31/O34</f>
        <v>19870.579852681814</v>
      </c>
      <c r="P35" s="27" t="s">
        <v>574</v>
      </c>
      <c r="Q35" s="55" t="s">
        <v>240</v>
      </c>
      <c r="R35" s="7">
        <f>R31/R34</f>
        <v>19870.567471168706</v>
      </c>
      <c r="S35" s="70" t="s">
        <v>574</v>
      </c>
    </row>
    <row r="36" spans="1:21" ht="15.95" customHeight="1" thickBot="1" x14ac:dyDescent="0.2">
      <c r="B36" s="55" t="s">
        <v>244</v>
      </c>
      <c r="C36" s="4" t="s">
        <v>4</v>
      </c>
      <c r="D36" s="146">
        <f>IF($J$20=1, O24,Q20)</f>
        <v>120</v>
      </c>
      <c r="E36" s="27" t="s">
        <v>572</v>
      </c>
      <c r="F36" s="73"/>
      <c r="G36" s="786"/>
      <c r="H36" s="786"/>
      <c r="I36" s="786"/>
      <c r="J36" s="786"/>
      <c r="K36" s="787"/>
      <c r="N36" s="71" t="s">
        <v>395</v>
      </c>
      <c r="O36" s="127">
        <f>(2*O27*O26*(O23-O27)^2*(O24-O26)^2)/((O23*O27)+(O24*O26)-O27^2-O26^2)</f>
        <v>1064553.0909090908</v>
      </c>
      <c r="P36" s="128" t="s">
        <v>574</v>
      </c>
      <c r="Q36" s="71" t="s">
        <v>350</v>
      </c>
      <c r="R36" s="127">
        <f>(2*R27*R26*(R23-R27)^2*(R24-R26)^2)/((R23*R27)+(R24*R26)-R27^2-R26^2)</f>
        <v>1064553.0909090908</v>
      </c>
      <c r="S36" s="72" t="s">
        <v>575</v>
      </c>
    </row>
    <row r="37" spans="1:21" ht="15.95" customHeight="1" x14ac:dyDescent="0.15">
      <c r="B37" s="55" t="s">
        <v>622</v>
      </c>
      <c r="C37" s="4" t="s">
        <v>4</v>
      </c>
      <c r="D37" s="146">
        <f>IF($J$20=1, O25,Q20)</f>
        <v>30</v>
      </c>
      <c r="E37" s="27" t="s">
        <v>572</v>
      </c>
      <c r="F37" s="73"/>
      <c r="G37" s="786"/>
      <c r="H37" s="786"/>
      <c r="I37" s="786"/>
      <c r="J37" s="786"/>
      <c r="K37" s="787"/>
    </row>
    <row r="38" spans="1:21" ht="15.95" customHeight="1" x14ac:dyDescent="0.15">
      <c r="B38" s="55" t="s">
        <v>118</v>
      </c>
      <c r="C38" s="4" t="s">
        <v>4</v>
      </c>
      <c r="D38" s="146">
        <f>IF($J$20=1, O26,Q20)</f>
        <v>2</v>
      </c>
      <c r="E38" s="27" t="s">
        <v>572</v>
      </c>
      <c r="F38" s="73"/>
      <c r="G38" s="786"/>
      <c r="H38" s="786"/>
      <c r="I38" s="786"/>
      <c r="J38" s="786"/>
      <c r="K38" s="787"/>
      <c r="N38" s="8" t="s">
        <v>250</v>
      </c>
    </row>
    <row r="39" spans="1:21" ht="15.95" customHeight="1" thickBot="1" x14ac:dyDescent="0.2">
      <c r="B39" s="55" t="s">
        <v>570</v>
      </c>
      <c r="C39" s="4" t="s">
        <v>4</v>
      </c>
      <c r="D39" s="146">
        <f>IF($J$20=1, O27,Q20)</f>
        <v>2</v>
      </c>
      <c r="E39" s="27" t="s">
        <v>572</v>
      </c>
      <c r="G39" s="786"/>
      <c r="H39" s="786"/>
      <c r="I39" s="786"/>
      <c r="J39" s="786"/>
      <c r="K39" s="787"/>
      <c r="L39" s="65"/>
      <c r="M39" s="65"/>
      <c r="N39" s="8" t="s">
        <v>564</v>
      </c>
      <c r="S39" s="53"/>
      <c r="T39" s="54"/>
    </row>
    <row r="40" spans="1:21" ht="15.95" customHeight="1" x14ac:dyDescent="0.15">
      <c r="B40" s="55" t="s">
        <v>237</v>
      </c>
      <c r="C40" s="4" t="s">
        <v>4</v>
      </c>
      <c r="D40" s="146">
        <f>IF($J$20=1, O28,Q20)</f>
        <v>2</v>
      </c>
      <c r="E40" s="27" t="s">
        <v>572</v>
      </c>
      <c r="F40" s="73"/>
      <c r="G40" s="786"/>
      <c r="H40" s="786"/>
      <c r="I40" s="786"/>
      <c r="J40" s="786"/>
      <c r="K40" s="787"/>
      <c r="L40" s="65"/>
      <c r="M40" s="65"/>
      <c r="N40" s="68" t="s">
        <v>238</v>
      </c>
      <c r="O40" s="126">
        <f t="shared" ref="O40:O45" si="0">IF($J$20=1, O31,R31)</f>
        <v>1671313.4310645724</v>
      </c>
      <c r="P40" s="69" t="s">
        <v>573</v>
      </c>
      <c r="Q40" s="56" t="s">
        <v>396</v>
      </c>
      <c r="R40" s="126">
        <f>IF($J$20=1, O30,R23-R27*2)</f>
        <v>56</v>
      </c>
      <c r="S40" s="69" t="s">
        <v>572</v>
      </c>
      <c r="T40" s="28"/>
      <c r="U40" s="28"/>
    </row>
    <row r="41" spans="1:21" ht="15.95" customHeight="1" x14ac:dyDescent="0.15">
      <c r="B41" s="55" t="s">
        <v>407</v>
      </c>
      <c r="C41" s="4" t="s">
        <v>4</v>
      </c>
      <c r="D41" s="142">
        <f>O40</f>
        <v>1671313.4310645724</v>
      </c>
      <c r="E41" s="27" t="s">
        <v>573</v>
      </c>
      <c r="F41" s="73"/>
      <c r="G41" s="786"/>
      <c r="H41" s="786"/>
      <c r="I41" s="786"/>
      <c r="J41" s="786"/>
      <c r="K41" s="787"/>
      <c r="L41" s="65"/>
      <c r="M41" s="65"/>
      <c r="N41" s="55" t="s">
        <v>239</v>
      </c>
      <c r="O41" s="7">
        <f t="shared" si="0"/>
        <v>462398.66666666663</v>
      </c>
      <c r="P41" s="27" t="s">
        <v>573</v>
      </c>
      <c r="Q41" s="57" t="s">
        <v>397</v>
      </c>
      <c r="R41" s="7">
        <f>IF($J$20=1, O24-2*O26,R24-R26*2)</f>
        <v>116</v>
      </c>
      <c r="S41" s="70" t="s">
        <v>572</v>
      </c>
      <c r="U41" s="28"/>
    </row>
    <row r="42" spans="1:21" ht="15.95" customHeight="1" x14ac:dyDescent="0.15">
      <c r="B42" s="55" t="s">
        <v>408</v>
      </c>
      <c r="C42" s="4" t="s">
        <v>4</v>
      </c>
      <c r="D42" s="142">
        <f>O41</f>
        <v>462398.66666666663</v>
      </c>
      <c r="E42" s="27" t="s">
        <v>573</v>
      </c>
      <c r="F42" s="73"/>
      <c r="G42" s="786"/>
      <c r="H42" s="786"/>
      <c r="I42" s="786"/>
      <c r="J42" s="786"/>
      <c r="K42" s="787"/>
      <c r="L42" s="65"/>
      <c r="M42" s="65"/>
      <c r="N42" s="55" t="s">
        <v>1092</v>
      </c>
      <c r="O42" s="7">
        <f t="shared" si="0"/>
        <v>30</v>
      </c>
      <c r="P42" s="27" t="s">
        <v>562</v>
      </c>
      <c r="Q42" s="57" t="s">
        <v>398</v>
      </c>
      <c r="R42" s="7">
        <f>IF($J$20=1, O26,R26)</f>
        <v>2</v>
      </c>
      <c r="S42" s="70" t="s">
        <v>572</v>
      </c>
      <c r="T42" s="74"/>
      <c r="U42" s="28"/>
    </row>
    <row r="43" spans="1:21" ht="15.95" customHeight="1" x14ac:dyDescent="0.15">
      <c r="B43" s="55" t="s">
        <v>1092</v>
      </c>
      <c r="C43" s="4" t="s">
        <v>4</v>
      </c>
      <c r="D43" s="148">
        <f>O42</f>
        <v>30</v>
      </c>
      <c r="E43" s="27" t="s">
        <v>562</v>
      </c>
      <c r="F43" s="73"/>
      <c r="G43" s="786"/>
      <c r="H43" s="786"/>
      <c r="I43" s="786"/>
      <c r="J43" s="786"/>
      <c r="K43" s="787"/>
      <c r="L43" s="65"/>
      <c r="M43" s="65"/>
      <c r="N43" s="55" t="s">
        <v>1093</v>
      </c>
      <c r="O43" s="7">
        <f t="shared" si="0"/>
        <v>84.109947643979055</v>
      </c>
      <c r="P43" s="27" t="s">
        <v>562</v>
      </c>
      <c r="Q43" s="57" t="s">
        <v>399</v>
      </c>
      <c r="R43" s="133">
        <f>IF($J$20=1, O27,R27)</f>
        <v>2</v>
      </c>
      <c r="S43" s="70" t="s">
        <v>572</v>
      </c>
      <c r="T43" s="74"/>
      <c r="U43" s="28"/>
    </row>
    <row r="44" spans="1:21" ht="15.95" customHeight="1" x14ac:dyDescent="0.15">
      <c r="B44" s="55" t="s">
        <v>406</v>
      </c>
      <c r="C44" s="4" t="s">
        <v>4</v>
      </c>
      <c r="D44" s="142">
        <f t="shared" ref="D44:D45" si="1">O44</f>
        <v>19870.579852681814</v>
      </c>
      <c r="E44" s="27" t="s">
        <v>574</v>
      </c>
      <c r="F44" s="73"/>
      <c r="G44" s="786"/>
      <c r="H44" s="786"/>
      <c r="I44" s="786"/>
      <c r="J44" s="786"/>
      <c r="K44" s="787"/>
      <c r="L44" s="65"/>
      <c r="M44" s="65"/>
      <c r="N44" s="55" t="s">
        <v>240</v>
      </c>
      <c r="O44" s="7">
        <f t="shared" si="0"/>
        <v>19870.579852681814</v>
      </c>
      <c r="P44" s="27" t="s">
        <v>574</v>
      </c>
      <c r="Q44" s="75"/>
      <c r="R44" s="65"/>
      <c r="S44" s="76"/>
      <c r="T44" s="74"/>
      <c r="U44" s="28"/>
    </row>
    <row r="45" spans="1:21" ht="15.95" customHeight="1" thickBot="1" x14ac:dyDescent="0.2">
      <c r="B45" s="71" t="s">
        <v>395</v>
      </c>
      <c r="C45" s="17" t="s">
        <v>4</v>
      </c>
      <c r="D45" s="143">
        <f t="shared" si="1"/>
        <v>1064553.0909090908</v>
      </c>
      <c r="E45" s="128" t="s">
        <v>574</v>
      </c>
      <c r="F45" s="138"/>
      <c r="G45" s="788"/>
      <c r="H45" s="788"/>
      <c r="I45" s="788"/>
      <c r="J45" s="788"/>
      <c r="K45" s="789"/>
      <c r="L45" s="65"/>
      <c r="M45" s="65"/>
      <c r="N45" s="71" t="s">
        <v>395</v>
      </c>
      <c r="O45" s="127">
        <f t="shared" si="0"/>
        <v>1064553.0909090908</v>
      </c>
      <c r="P45" s="128" t="s">
        <v>574</v>
      </c>
      <c r="Q45" s="78"/>
      <c r="R45" s="77"/>
      <c r="S45" s="79"/>
      <c r="T45" s="74"/>
      <c r="U45" s="28"/>
    </row>
    <row r="46" spans="1:21" ht="15.95" customHeight="1" x14ac:dyDescent="0.15">
      <c r="B46" s="795" t="s">
        <v>1217</v>
      </c>
      <c r="C46" s="795"/>
      <c r="D46" s="795"/>
      <c r="E46" s="795"/>
      <c r="F46" s="795"/>
      <c r="G46" s="795"/>
      <c r="H46" s="795"/>
      <c r="I46" s="795"/>
      <c r="J46" s="795"/>
      <c r="K46" s="795"/>
      <c r="L46" s="65"/>
      <c r="M46" s="65"/>
    </row>
    <row r="47" spans="1:21" s="2" customFormat="1" ht="15.95" hidden="1" customHeight="1" x14ac:dyDescent="0.15">
      <c r="A47" s="112"/>
      <c r="B47" s="112" t="s">
        <v>432</v>
      </c>
    </row>
    <row r="48" spans="1:21" s="2" customFormat="1" ht="15.95" hidden="1" customHeight="1" x14ac:dyDescent="0.15"/>
    <row r="49" spans="1:9" s="2" customFormat="1" ht="15.95" hidden="1" customHeight="1" x14ac:dyDescent="0.15">
      <c r="B49" s="113"/>
    </row>
    <row r="50" spans="1:9" s="2" customFormat="1" ht="15.95" hidden="1" customHeight="1" x14ac:dyDescent="0.15">
      <c r="A50" s="114"/>
    </row>
    <row r="51" spans="1:9" s="2" customFormat="1" ht="15.95" hidden="1" customHeight="1" x14ac:dyDescent="0.15">
      <c r="A51" s="114"/>
    </row>
    <row r="52" spans="1:9" s="2" customFormat="1" ht="15.95" hidden="1" customHeight="1" x14ac:dyDescent="0.15">
      <c r="A52" s="114"/>
    </row>
    <row r="53" spans="1:9" s="2" customFormat="1" ht="15.95" hidden="1" customHeight="1" x14ac:dyDescent="0.15">
      <c r="A53" s="114"/>
    </row>
    <row r="54" spans="1:9" s="2" customFormat="1" ht="15.95" hidden="1" customHeight="1" x14ac:dyDescent="0.15">
      <c r="A54" s="114"/>
      <c r="G54" s="20"/>
    </row>
    <row r="55" spans="1:9" s="2" customFormat="1" ht="15.95" hidden="1" customHeight="1" x14ac:dyDescent="0.15">
      <c r="A55" s="114"/>
      <c r="G55" s="82"/>
    </row>
    <row r="56" spans="1:9" s="2" customFormat="1" ht="15.95" hidden="1" customHeight="1" x14ac:dyDescent="0.15">
      <c r="A56" s="114"/>
      <c r="G56" s="20"/>
    </row>
    <row r="57" spans="1:9" s="2" customFormat="1" ht="15.95" hidden="1" customHeight="1" x14ac:dyDescent="0.15">
      <c r="A57" s="114"/>
      <c r="G57" s="20"/>
    </row>
    <row r="58" spans="1:9" s="2" customFormat="1" ht="15.95" hidden="1" customHeight="1" x14ac:dyDescent="0.15">
      <c r="A58" s="114"/>
      <c r="G58" s="20"/>
      <c r="I58" s="114"/>
    </row>
    <row r="59" spans="1:9" s="2" customFormat="1" ht="15.95" hidden="1" customHeight="1" x14ac:dyDescent="0.15">
      <c r="B59" s="8" t="s">
        <v>135</v>
      </c>
      <c r="G59" s="20"/>
    </row>
    <row r="60" spans="1:9" s="2" customFormat="1" ht="15.95" hidden="1" customHeight="1" x14ac:dyDescent="0.15">
      <c r="G60" s="62"/>
    </row>
    <row r="61" spans="1:9" s="2" customFormat="1" ht="15.95" hidden="1" customHeight="1" x14ac:dyDescent="0.15">
      <c r="B61" s="20" t="s">
        <v>129</v>
      </c>
      <c r="C61" s="4" t="s">
        <v>4</v>
      </c>
      <c r="D61" s="20" t="s">
        <v>130</v>
      </c>
      <c r="E61" s="4" t="s">
        <v>4</v>
      </c>
      <c r="F61" s="20" t="s">
        <v>436</v>
      </c>
      <c r="G61" s="4" t="s">
        <v>9</v>
      </c>
      <c r="H61" s="20" t="s">
        <v>146</v>
      </c>
      <c r="I61" s="20"/>
    </row>
    <row r="62" spans="1:9" s="2" customFormat="1" ht="15.95" hidden="1" customHeight="1" x14ac:dyDescent="0.15">
      <c r="B62" s="20" t="s">
        <v>433</v>
      </c>
      <c r="C62" s="4" t="s">
        <v>4</v>
      </c>
      <c r="D62" s="20" t="s">
        <v>437</v>
      </c>
      <c r="E62" s="4" t="s">
        <v>4</v>
      </c>
      <c r="F62" s="20" t="s">
        <v>436</v>
      </c>
      <c r="G62" s="4" t="s">
        <v>9</v>
      </c>
      <c r="H62" s="20" t="s">
        <v>434</v>
      </c>
      <c r="I62" s="20"/>
    </row>
    <row r="63" spans="1:9" s="2" customFormat="1" ht="15.95" hidden="1" customHeight="1" x14ac:dyDescent="0.15">
      <c r="B63" s="20" t="s">
        <v>109</v>
      </c>
      <c r="C63" s="4" t="s">
        <v>4</v>
      </c>
      <c r="D63" s="20" t="s">
        <v>435</v>
      </c>
      <c r="E63" s="20"/>
      <c r="G63" s="4" t="s">
        <v>9</v>
      </c>
      <c r="H63" s="20" t="s">
        <v>147</v>
      </c>
      <c r="I63" s="20"/>
    </row>
    <row r="64" spans="1:9" s="2" customFormat="1" ht="15.95" hidden="1" customHeight="1" x14ac:dyDescent="0.15">
      <c r="B64" s="62" t="s">
        <v>165</v>
      </c>
      <c r="C64" s="4" t="s">
        <v>4</v>
      </c>
      <c r="D64" s="20" t="s">
        <v>438</v>
      </c>
      <c r="E64" s="20"/>
      <c r="G64" s="4" t="s">
        <v>9</v>
      </c>
      <c r="H64" s="20" t="s">
        <v>148</v>
      </c>
      <c r="I64" s="20"/>
    </row>
    <row r="65" spans="1:13" s="2" customFormat="1" ht="15.95" hidden="1" customHeight="1" x14ac:dyDescent="0.15">
      <c r="H65" s="4"/>
      <c r="I65" s="20"/>
    </row>
    <row r="66" spans="1:13" s="2" customFormat="1" ht="15.95" hidden="1" customHeight="1" x14ac:dyDescent="0.15"/>
    <row r="67" spans="1:13" s="2" customFormat="1" ht="15.95" hidden="1" customHeight="1" x14ac:dyDescent="0.15">
      <c r="A67" s="114"/>
      <c r="B67" s="8" t="s">
        <v>136</v>
      </c>
    </row>
    <row r="68" spans="1:13" s="2" customFormat="1" ht="15.95" hidden="1" customHeight="1" x14ac:dyDescent="0.15"/>
    <row r="69" spans="1:13" s="2" customFormat="1" ht="15.95" hidden="1" customHeight="1" x14ac:dyDescent="0.15">
      <c r="B69" s="119" t="s">
        <v>2</v>
      </c>
      <c r="C69" s="11" t="s">
        <v>4</v>
      </c>
      <c r="D69" s="142">
        <f>D9</f>
        <v>5000</v>
      </c>
      <c r="E69" s="2" t="s">
        <v>603</v>
      </c>
      <c r="G69" s="4" t="s">
        <v>9</v>
      </c>
      <c r="H69" s="20" t="s">
        <v>452</v>
      </c>
      <c r="J69" s="20"/>
      <c r="K69" s="20"/>
    </row>
    <row r="70" spans="1:13" s="2" customFormat="1" ht="15.95" hidden="1" customHeight="1" x14ac:dyDescent="0.15">
      <c r="B70" s="120" t="s">
        <v>3</v>
      </c>
      <c r="C70" s="11" t="s">
        <v>4</v>
      </c>
      <c r="D70" s="142">
        <f>(D7+D8)/2</f>
        <v>1200</v>
      </c>
      <c r="E70" s="2" t="s">
        <v>603</v>
      </c>
      <c r="G70" s="4" t="s">
        <v>9</v>
      </c>
      <c r="H70" s="20" t="s">
        <v>439</v>
      </c>
      <c r="J70" s="4"/>
      <c r="K70" s="20"/>
    </row>
    <row r="71" spans="1:13" s="2" customFormat="1" ht="15.95" hidden="1" customHeight="1" x14ac:dyDescent="0.15">
      <c r="B71" s="120" t="s">
        <v>11</v>
      </c>
      <c r="C71" s="11" t="s">
        <v>4</v>
      </c>
      <c r="D71" s="8">
        <f>ABS(D5*D70/10^3)</f>
        <v>0</v>
      </c>
      <c r="E71" s="8" t="s">
        <v>581</v>
      </c>
      <c r="F71" s="113"/>
      <c r="G71" s="4" t="s">
        <v>9</v>
      </c>
      <c r="H71" s="20" t="s">
        <v>430</v>
      </c>
      <c r="J71" s="4"/>
      <c r="K71" s="20"/>
    </row>
    <row r="72" spans="1:13" s="2" customFormat="1" ht="15.95" hidden="1" customHeight="1" x14ac:dyDescent="0.15">
      <c r="B72" s="120" t="s">
        <v>5</v>
      </c>
      <c r="C72" s="11" t="s">
        <v>4</v>
      </c>
      <c r="D72" s="142">
        <f>D6</f>
        <v>69637.021649999995</v>
      </c>
      <c r="E72" s="27" t="s">
        <v>561</v>
      </c>
      <c r="G72" s="4" t="s">
        <v>9</v>
      </c>
      <c r="H72" s="20" t="s">
        <v>140</v>
      </c>
      <c r="J72" s="4"/>
      <c r="K72" s="20"/>
    </row>
    <row r="73" spans="1:13" s="2" customFormat="1" ht="15.95" hidden="1" customHeight="1" x14ac:dyDescent="0.15">
      <c r="B73" s="120" t="s">
        <v>10</v>
      </c>
      <c r="C73" s="11" t="s">
        <v>4</v>
      </c>
      <c r="D73" s="142">
        <f>D41</f>
        <v>1671313.4310645724</v>
      </c>
      <c r="E73" s="2" t="s">
        <v>598</v>
      </c>
      <c r="G73" s="4" t="s">
        <v>9</v>
      </c>
      <c r="H73" s="20" t="s">
        <v>141</v>
      </c>
      <c r="J73" s="4"/>
      <c r="K73" s="20"/>
    </row>
    <row r="74" spans="1:13" s="2" customFormat="1" ht="15.95" hidden="1" customHeight="1" x14ac:dyDescent="0.15">
      <c r="J74" s="4"/>
      <c r="K74" s="20"/>
    </row>
    <row r="75" spans="1:13" s="2" customFormat="1" ht="15.95" hidden="1" customHeight="1" x14ac:dyDescent="0.15">
      <c r="A75" s="9"/>
      <c r="B75" s="8" t="s">
        <v>149</v>
      </c>
      <c r="J75" s="4"/>
      <c r="K75" s="20"/>
    </row>
    <row r="76" spans="1:13" s="2" customFormat="1" ht="15.95" hidden="1" customHeight="1" x14ac:dyDescent="0.15">
      <c r="J76" s="4"/>
      <c r="K76" s="20"/>
      <c r="L76" s="116"/>
      <c r="M76" s="114"/>
    </row>
    <row r="77" spans="1:13" s="2" customFormat="1" ht="15.95" hidden="1" customHeight="1" x14ac:dyDescent="0.15">
      <c r="A77" s="2" t="s">
        <v>1</v>
      </c>
      <c r="B77" s="20" t="s">
        <v>129</v>
      </c>
      <c r="C77" s="11" t="s">
        <v>4</v>
      </c>
      <c r="D77" s="20" t="s">
        <v>436</v>
      </c>
      <c r="G77" s="20"/>
      <c r="K77" s="20"/>
    </row>
    <row r="78" spans="1:13" s="2" customFormat="1" ht="15.95" hidden="1" customHeight="1" x14ac:dyDescent="0.15">
      <c r="B78" s="113"/>
      <c r="C78" s="11" t="s">
        <v>4</v>
      </c>
      <c r="D78" s="147">
        <f>D71*D69/2</f>
        <v>0</v>
      </c>
      <c r="E78" s="8" t="s">
        <v>599</v>
      </c>
      <c r="G78" s="20"/>
      <c r="K78" s="20"/>
    </row>
    <row r="79" spans="1:13" s="2" customFormat="1" ht="15.95" hidden="1" customHeight="1" x14ac:dyDescent="0.15">
      <c r="B79" s="114"/>
      <c r="C79" s="117"/>
      <c r="D79" s="115"/>
      <c r="G79" s="20"/>
      <c r="K79" s="20"/>
    </row>
    <row r="80" spans="1:13" s="2" customFormat="1" ht="15.95" hidden="1" customHeight="1" x14ac:dyDescent="0.15">
      <c r="B80" s="20" t="s">
        <v>433</v>
      </c>
      <c r="C80" s="11" t="s">
        <v>4</v>
      </c>
      <c r="D80" s="20" t="s">
        <v>436</v>
      </c>
      <c r="G80" s="62"/>
      <c r="K80" s="20"/>
    </row>
    <row r="81" spans="1:26" s="2" customFormat="1" ht="15.95" hidden="1" customHeight="1" x14ac:dyDescent="0.15">
      <c r="B81" s="118"/>
      <c r="C81" s="11" t="s">
        <v>4</v>
      </c>
      <c r="D81" s="147">
        <f>D71*D69/2</f>
        <v>0</v>
      </c>
      <c r="E81" s="8" t="s">
        <v>599</v>
      </c>
      <c r="K81" s="20"/>
    </row>
    <row r="82" spans="1:26" s="2" customFormat="1" ht="15.95" hidden="1" customHeight="1" x14ac:dyDescent="0.15">
      <c r="B82" s="118"/>
      <c r="C82" s="117"/>
      <c r="D82" s="14"/>
      <c r="K82" s="20"/>
    </row>
    <row r="83" spans="1:26" s="2" customFormat="1" ht="15.95" hidden="1" customHeight="1" x14ac:dyDescent="0.15">
      <c r="B83" s="20" t="s">
        <v>109</v>
      </c>
      <c r="C83" s="11" t="s">
        <v>4</v>
      </c>
      <c r="D83" s="20" t="s">
        <v>435</v>
      </c>
      <c r="F83" s="20"/>
      <c r="K83" s="20"/>
      <c r="O83" s="147"/>
      <c r="P83" s="27"/>
    </row>
    <row r="84" spans="1:26" s="2" customFormat="1" ht="15.95" hidden="1" customHeight="1" x14ac:dyDescent="0.15">
      <c r="C84" s="11" t="s">
        <v>4</v>
      </c>
      <c r="D84" s="147">
        <f>D71*D69^2/8</f>
        <v>0</v>
      </c>
      <c r="E84" s="27" t="s">
        <v>601</v>
      </c>
      <c r="F84" s="20"/>
      <c r="K84" s="20"/>
      <c r="O84" s="414"/>
    </row>
    <row r="85" spans="1:26" s="2" customFormat="1" ht="15.95" hidden="1" customHeight="1" x14ac:dyDescent="0.15">
      <c r="B85" s="118"/>
      <c r="C85" s="117"/>
      <c r="D85" s="14"/>
      <c r="K85" s="20"/>
    </row>
    <row r="86" spans="1:26" s="2" customFormat="1" ht="15.95" hidden="1" customHeight="1" x14ac:dyDescent="0.15">
      <c r="B86" s="62" t="s">
        <v>165</v>
      </c>
      <c r="C86" s="11" t="s">
        <v>4</v>
      </c>
      <c r="D86" s="20" t="s">
        <v>438</v>
      </c>
      <c r="K86" s="20"/>
      <c r="O86" s="412"/>
      <c r="P86" s="27"/>
    </row>
    <row r="87" spans="1:26" s="2" customFormat="1" ht="15.95" hidden="1" customHeight="1" x14ac:dyDescent="0.15">
      <c r="B87" s="118"/>
      <c r="C87" s="11" t="s">
        <v>4</v>
      </c>
      <c r="D87" s="150">
        <f>(5*D71*D69^4)/(384*D72*D73)</f>
        <v>0</v>
      </c>
      <c r="E87" s="8" t="s">
        <v>603</v>
      </c>
      <c r="K87" s="20"/>
      <c r="O87" s="414"/>
    </row>
    <row r="88" spans="1:26" ht="15.95" hidden="1" customHeight="1" x14ac:dyDescent="0.15">
      <c r="B88" s="110"/>
      <c r="C88" s="4"/>
      <c r="D88" s="110"/>
      <c r="H88" s="27"/>
      <c r="K88" s="20"/>
      <c r="V88" s="8"/>
      <c r="X88" s="8"/>
      <c r="Z88" s="8"/>
    </row>
    <row r="89" spans="1:26" ht="15.95" hidden="1" customHeight="1" x14ac:dyDescent="0.15">
      <c r="C89" s="4"/>
      <c r="D89" s="14"/>
      <c r="E89" s="27"/>
      <c r="K89" s="20"/>
      <c r="V89" s="8"/>
      <c r="X89" s="8"/>
      <c r="Z89" s="8"/>
    </row>
    <row r="90" spans="1:26" ht="15.95" hidden="1" customHeight="1" x14ac:dyDescent="0.15">
      <c r="B90" s="111"/>
      <c r="C90" s="4"/>
      <c r="D90" s="110"/>
      <c r="H90" s="27"/>
      <c r="J90" s="27"/>
      <c r="K90" s="20"/>
      <c r="V90" s="8"/>
      <c r="X90" s="8"/>
      <c r="Z90" s="8"/>
    </row>
    <row r="91" spans="1:26" ht="15.95" hidden="1" customHeight="1" x14ac:dyDescent="0.15">
      <c r="B91" s="52"/>
      <c r="C91" s="4"/>
      <c r="D91" s="18"/>
      <c r="E91" s="27"/>
      <c r="K91" s="20"/>
      <c r="V91" s="8"/>
      <c r="X91" s="8"/>
      <c r="Z91" s="8"/>
    </row>
    <row r="92" spans="1:26" ht="15.95" hidden="1" customHeight="1" x14ac:dyDescent="0.15">
      <c r="B92" s="52"/>
      <c r="C92" s="4"/>
      <c r="K92" s="20"/>
      <c r="V92" s="8"/>
      <c r="X92" s="8"/>
      <c r="Z92" s="8"/>
    </row>
    <row r="93" spans="1:26" ht="15.95" hidden="1" customHeight="1" x14ac:dyDescent="0.15">
      <c r="A93" s="27"/>
      <c r="B93" s="61" t="s">
        <v>189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N93" s="29" t="s">
        <v>401</v>
      </c>
      <c r="O93" s="444">
        <f>G6</f>
        <v>5</v>
      </c>
      <c r="P93" s="30"/>
    </row>
    <row r="94" spans="1:26" s="31" customFormat="1" ht="15.95" hidden="1" customHeight="1" x14ac:dyDescent="0.15">
      <c r="J94" s="32"/>
      <c r="K94" s="21"/>
      <c r="L94" s="32"/>
      <c r="M94" s="32"/>
      <c r="N94" s="21"/>
      <c r="O94" s="21"/>
      <c r="P94" s="21"/>
      <c r="V94" s="36"/>
      <c r="X94" s="36"/>
      <c r="Z94" s="36"/>
    </row>
    <row r="95" spans="1:26" s="31" customFormat="1" ht="15.95" hidden="1" customHeight="1" x14ac:dyDescent="0.15">
      <c r="A95" s="8"/>
      <c r="B95" s="33" t="s">
        <v>335</v>
      </c>
      <c r="C95" s="33"/>
      <c r="G95" s="34" t="s">
        <v>336</v>
      </c>
      <c r="H95" s="85"/>
      <c r="I95" s="27"/>
      <c r="J95" s="86"/>
      <c r="K95" s="35"/>
      <c r="L95" s="8"/>
      <c r="M95" s="8"/>
      <c r="N95" s="36" t="s">
        <v>337</v>
      </c>
      <c r="O95" s="443">
        <v>14</v>
      </c>
      <c r="P95" s="8"/>
      <c r="S95" s="8"/>
      <c r="V95" s="36"/>
      <c r="X95" s="36"/>
      <c r="Z95" s="36"/>
    </row>
    <row r="96" spans="1:26" s="31" customFormat="1" ht="15.95" hidden="1" customHeight="1" x14ac:dyDescent="0.15">
      <c r="A96" s="8"/>
      <c r="B96" s="33"/>
      <c r="C96" s="8"/>
      <c r="D96" s="8"/>
      <c r="E96" s="8"/>
      <c r="G96" s="21"/>
      <c r="I96" s="8"/>
      <c r="J96" s="33"/>
      <c r="K96" s="22"/>
      <c r="L96" s="8"/>
      <c r="M96" s="22" t="s">
        <v>338</v>
      </c>
      <c r="N96" s="87">
        <v>5</v>
      </c>
      <c r="O96" s="87">
        <v>6</v>
      </c>
      <c r="Q96" s="790" t="s">
        <v>339</v>
      </c>
      <c r="R96" s="791"/>
      <c r="S96" s="792" t="s">
        <v>374</v>
      </c>
      <c r="T96" s="793"/>
      <c r="U96" s="794"/>
      <c r="V96" s="36"/>
      <c r="X96" s="36"/>
      <c r="Z96" s="36"/>
    </row>
    <row r="97" spans="1:26" s="31" customFormat="1" ht="15.95" hidden="1" customHeight="1" x14ac:dyDescent="0.15">
      <c r="A97" s="8"/>
      <c r="B97" s="20" t="s">
        <v>390</v>
      </c>
      <c r="C97" s="4" t="s">
        <v>4</v>
      </c>
      <c r="D97" s="151">
        <f>D10</f>
        <v>2600</v>
      </c>
      <c r="E97" s="13" t="s">
        <v>583</v>
      </c>
      <c r="F97" s="8"/>
      <c r="G97" s="20" t="s">
        <v>340</v>
      </c>
      <c r="H97" s="4" t="s">
        <v>341</v>
      </c>
      <c r="I97" s="130">
        <f>2*D97*D99/(SQRT(D98*D100))</f>
        <v>147.27259356576931</v>
      </c>
      <c r="K97" s="22"/>
      <c r="L97" s="8"/>
      <c r="M97" s="8"/>
      <c r="N97" s="37">
        <v>0</v>
      </c>
      <c r="O97" s="37">
        <v>0</v>
      </c>
      <c r="P97" s="21" t="s">
        <v>342</v>
      </c>
      <c r="Q97" s="38" t="s">
        <v>343</v>
      </c>
      <c r="R97" s="39" t="s">
        <v>344</v>
      </c>
      <c r="S97" s="39">
        <v>1</v>
      </c>
      <c r="T97" s="40">
        <f>IF(O93=5, N97, O97)</f>
        <v>0</v>
      </c>
      <c r="U97" s="39" t="str">
        <f>P97</f>
        <v>S  ≤  S₁</v>
      </c>
      <c r="V97" s="36"/>
      <c r="X97" s="36"/>
      <c r="Z97" s="36"/>
    </row>
    <row r="98" spans="1:26" s="31" customFormat="1" ht="15.95" hidden="1" customHeight="1" x14ac:dyDescent="0.15">
      <c r="A98" s="8"/>
      <c r="B98" s="20" t="s">
        <v>345</v>
      </c>
      <c r="C98" s="4" t="s">
        <v>4</v>
      </c>
      <c r="D98" s="151">
        <f>D42</f>
        <v>462398.66666666663</v>
      </c>
      <c r="E98" s="13" t="s">
        <v>579</v>
      </c>
      <c r="F98" s="8"/>
      <c r="G98" s="41" t="s">
        <v>346</v>
      </c>
      <c r="H98" s="22"/>
      <c r="I98" s="22"/>
      <c r="J98" s="36"/>
      <c r="K98" s="22"/>
      <c r="L98" s="8"/>
      <c r="M98" s="8"/>
      <c r="N98" s="42">
        <v>0</v>
      </c>
      <c r="O98" s="42">
        <v>0</v>
      </c>
      <c r="P98" s="21" t="s">
        <v>347</v>
      </c>
      <c r="Q98" s="43">
        <f>IF(O93=5, N98,O98)</f>
        <v>0</v>
      </c>
      <c r="R98" s="44">
        <f>IF(O93=5,N100,O100)</f>
        <v>3823</v>
      </c>
      <c r="S98" s="46">
        <v>2</v>
      </c>
      <c r="T98" s="45">
        <f>IF(O93=5, N99, O99)</f>
        <v>9.6505085589175899</v>
      </c>
      <c r="U98" s="46" t="str">
        <f>P99</f>
        <v>S₁&lt;  S  &lt; S₂</v>
      </c>
      <c r="V98" s="36"/>
      <c r="X98" s="36"/>
      <c r="Z98" s="36"/>
    </row>
    <row r="99" spans="1:26" s="31" customFormat="1" ht="15.95" hidden="1" customHeight="1" x14ac:dyDescent="0.15">
      <c r="B99" s="20" t="s">
        <v>179</v>
      </c>
      <c r="C99" s="4" t="s">
        <v>4</v>
      </c>
      <c r="D99" s="151">
        <f>D44</f>
        <v>19870.579852681814</v>
      </c>
      <c r="E99" s="13" t="s">
        <v>575</v>
      </c>
      <c r="G99" s="20" t="str">
        <f>U101</f>
        <v>S₁&lt;  S  &lt; S₂</v>
      </c>
      <c r="J99" s="8"/>
      <c r="K99" s="22"/>
      <c r="L99" s="8"/>
      <c r="M99" s="8"/>
      <c r="N99" s="42">
        <f>10.5-0.07*SQRT(I97)</f>
        <v>9.6505085589175899</v>
      </c>
      <c r="O99" s="42">
        <f>16.7-0.14*SQRT(I97)</f>
        <v>15.001017117835179</v>
      </c>
      <c r="P99" s="21" t="s">
        <v>348</v>
      </c>
      <c r="Q99" s="88" t="s">
        <v>349</v>
      </c>
      <c r="S99" s="44">
        <v>3</v>
      </c>
      <c r="T99" s="47">
        <f>IF(O93=5, N101, O101)</f>
        <v>160.24026893680735</v>
      </c>
      <c r="U99" s="44" t="str">
        <f>P101</f>
        <v>S  ≥  S₂</v>
      </c>
      <c r="V99" s="36"/>
      <c r="X99" s="36"/>
      <c r="Z99" s="36"/>
    </row>
    <row r="100" spans="1:26" s="31" customFormat="1" ht="15.95" hidden="1" customHeight="1" thickBot="1" x14ac:dyDescent="0.2">
      <c r="A100" s="8"/>
      <c r="B100" s="20" t="s">
        <v>350</v>
      </c>
      <c r="C100" s="4" t="s">
        <v>4</v>
      </c>
      <c r="D100" s="151">
        <f>D45</f>
        <v>1064553.0909090908</v>
      </c>
      <c r="E100" s="13" t="s">
        <v>579</v>
      </c>
      <c r="F100" s="22"/>
      <c r="H100" s="22"/>
      <c r="I100" s="8"/>
      <c r="J100" s="8"/>
      <c r="K100" s="8"/>
      <c r="L100" s="8"/>
      <c r="M100" s="8"/>
      <c r="N100" s="42">
        <v>3823</v>
      </c>
      <c r="O100" s="42">
        <v>2400</v>
      </c>
      <c r="P100" s="21" t="s">
        <v>352</v>
      </c>
      <c r="Q100" s="39" t="s">
        <v>353</v>
      </c>
      <c r="V100" s="36"/>
      <c r="X100" s="36"/>
      <c r="Z100" s="36"/>
    </row>
    <row r="101" spans="1:26" s="31" customFormat="1" ht="15.95" hidden="1" customHeight="1" thickBot="1" x14ac:dyDescent="0.2">
      <c r="A101" s="8"/>
      <c r="B101" s="20" t="s">
        <v>354</v>
      </c>
      <c r="C101" s="4" t="s">
        <v>4</v>
      </c>
      <c r="D101" s="8">
        <f>T101</f>
        <v>9.6505085589175899</v>
      </c>
      <c r="E101" s="13" t="s">
        <v>232</v>
      </c>
      <c r="F101" s="22"/>
      <c r="K101" s="8"/>
      <c r="L101" s="8"/>
      <c r="M101" s="8"/>
      <c r="N101" s="48">
        <f>23599/I97</f>
        <v>160.24026893680735</v>
      </c>
      <c r="O101" s="48">
        <f>23599/I97</f>
        <v>160.24026893680735</v>
      </c>
      <c r="P101" s="21" t="s">
        <v>355</v>
      </c>
      <c r="Q101" s="44">
        <f>I97</f>
        <v>147.27259356576931</v>
      </c>
      <c r="S101" s="89">
        <f>IF(Q101&lt;=Q98,1,IF(AND(Q101&gt;Q98,Q101&lt;R98),2,3))</f>
        <v>2</v>
      </c>
      <c r="T101" s="49">
        <f>VLOOKUP(S101, S97:T99, 2, FALSE)</f>
        <v>9.6505085589175899</v>
      </c>
      <c r="U101" s="50" t="str">
        <f>VLOOKUP(S101,S97:U99, 3, FALSE)</f>
        <v>S₁&lt;  S  &lt; S₂</v>
      </c>
      <c r="V101" s="36"/>
      <c r="X101" s="36"/>
      <c r="Z101" s="36"/>
    </row>
    <row r="102" spans="1:26" s="31" customFormat="1" ht="15.95" hidden="1" customHeight="1" x14ac:dyDescent="0.15">
      <c r="A102" s="8"/>
      <c r="C102" s="4" t="s">
        <v>4</v>
      </c>
      <c r="D102" s="13">
        <f>D101*6.894757</f>
        <v>66.537911440156961</v>
      </c>
      <c r="E102" s="13" t="s">
        <v>561</v>
      </c>
      <c r="F102" s="22"/>
      <c r="G102" s="22"/>
      <c r="H102" s="22"/>
      <c r="I102" s="8"/>
      <c r="J102" s="8"/>
      <c r="K102" s="8"/>
      <c r="L102" s="8"/>
      <c r="M102" s="8"/>
      <c r="V102" s="36"/>
      <c r="X102" s="36"/>
      <c r="Z102" s="36"/>
    </row>
    <row r="103" spans="1:26" s="31" customFormat="1" ht="15.95" hidden="1" customHeight="1" x14ac:dyDescent="0.15">
      <c r="A103" s="8"/>
      <c r="C103" s="4"/>
      <c r="D103" s="13"/>
      <c r="E103" s="13"/>
      <c r="F103" s="22"/>
      <c r="G103" s="22"/>
      <c r="H103" s="22"/>
      <c r="I103" s="8"/>
      <c r="J103" s="8"/>
      <c r="K103" s="8"/>
      <c r="L103" s="8"/>
      <c r="M103" s="8"/>
      <c r="V103" s="36"/>
      <c r="X103" s="36"/>
      <c r="Z103" s="36"/>
    </row>
    <row r="104" spans="1:26" s="31" customFormat="1" ht="15.95" hidden="1" customHeight="1" x14ac:dyDescent="0.15">
      <c r="A104" s="8"/>
      <c r="B104" s="33" t="s">
        <v>356</v>
      </c>
      <c r="C104" s="33"/>
      <c r="D104" s="131"/>
      <c r="E104" s="131"/>
      <c r="G104" s="34" t="s">
        <v>357</v>
      </c>
      <c r="H104" s="85"/>
      <c r="I104" s="22"/>
      <c r="J104" s="86"/>
      <c r="K104" s="8"/>
      <c r="L104" s="8"/>
      <c r="M104" s="8"/>
      <c r="N104" s="36" t="s">
        <v>337</v>
      </c>
      <c r="O104" s="443">
        <v>16</v>
      </c>
      <c r="P104" s="8"/>
      <c r="S104" s="8"/>
      <c r="V104" s="36"/>
      <c r="X104" s="36"/>
      <c r="Z104" s="36"/>
    </row>
    <row r="105" spans="1:26" s="31" customFormat="1" ht="15.95" hidden="1" customHeight="1" x14ac:dyDescent="0.15">
      <c r="A105" s="8"/>
      <c r="B105" s="33"/>
      <c r="C105" s="33"/>
      <c r="D105" s="131"/>
      <c r="E105" s="131"/>
      <c r="F105" s="33"/>
      <c r="G105" s="33"/>
      <c r="H105" s="33"/>
      <c r="I105" s="8"/>
      <c r="J105" s="33"/>
      <c r="K105" s="8"/>
      <c r="L105" s="8"/>
      <c r="M105" s="22" t="s">
        <v>338</v>
      </c>
      <c r="N105" s="87">
        <v>5</v>
      </c>
      <c r="O105" s="87">
        <v>6</v>
      </c>
      <c r="Q105" s="790" t="s">
        <v>339</v>
      </c>
      <c r="R105" s="791"/>
      <c r="S105" s="792" t="s">
        <v>374</v>
      </c>
      <c r="T105" s="793"/>
      <c r="U105" s="794"/>
      <c r="V105" s="36"/>
      <c r="X105" s="36"/>
      <c r="Z105" s="36"/>
    </row>
    <row r="106" spans="1:26" s="31" customFormat="1" ht="15.95" hidden="1" customHeight="1" x14ac:dyDescent="0.15">
      <c r="A106" s="8"/>
      <c r="B106" s="20" t="s">
        <v>121</v>
      </c>
      <c r="C106" s="4" t="s">
        <v>4</v>
      </c>
      <c r="D106" s="7">
        <f>R40</f>
        <v>56</v>
      </c>
      <c r="E106" s="13" t="s">
        <v>583</v>
      </c>
      <c r="F106" s="8"/>
      <c r="G106" s="20" t="str">
        <f>U110</f>
        <v>S₁&lt;  S  &lt; S₂</v>
      </c>
      <c r="K106" s="8"/>
      <c r="L106" s="8"/>
      <c r="M106" s="8"/>
      <c r="N106" s="37">
        <v>9.6999999999999993</v>
      </c>
      <c r="O106" s="37">
        <v>15.2</v>
      </c>
      <c r="P106" s="21" t="s">
        <v>342</v>
      </c>
      <c r="Q106" s="38" t="s">
        <v>343</v>
      </c>
      <c r="R106" s="39" t="s">
        <v>344</v>
      </c>
      <c r="S106" s="39">
        <v>1</v>
      </c>
      <c r="T106" s="40">
        <f>IF(O93=5, N106, O106)</f>
        <v>9.6999999999999993</v>
      </c>
      <c r="U106" s="39" t="str">
        <f>P106</f>
        <v>S  ≤  S₁</v>
      </c>
      <c r="V106" s="36"/>
      <c r="X106" s="36"/>
      <c r="Z106" s="36"/>
    </row>
    <row r="107" spans="1:26" s="31" customFormat="1" ht="15.95" hidden="1" customHeight="1" x14ac:dyDescent="0.15">
      <c r="A107" s="8"/>
      <c r="B107" s="20" t="s">
        <v>379</v>
      </c>
      <c r="C107" s="4" t="s">
        <v>4</v>
      </c>
      <c r="D107" s="7">
        <f>R42</f>
        <v>2</v>
      </c>
      <c r="E107" s="13" t="s">
        <v>583</v>
      </c>
      <c r="G107" s="8"/>
      <c r="H107" s="8"/>
      <c r="I107" s="8"/>
      <c r="J107" s="8"/>
      <c r="K107" s="8"/>
      <c r="L107" s="8"/>
      <c r="M107" s="8"/>
      <c r="N107" s="42">
        <v>25.6</v>
      </c>
      <c r="O107" s="42">
        <v>22.8</v>
      </c>
      <c r="P107" s="21" t="s">
        <v>347</v>
      </c>
      <c r="Q107" s="43">
        <f>IF(O93=5, N107,O107)</f>
        <v>25.6</v>
      </c>
      <c r="R107" s="44">
        <f>IF(O93=5,N109,O109)</f>
        <v>50</v>
      </c>
      <c r="S107" s="46">
        <v>2</v>
      </c>
      <c r="T107" s="45">
        <f>IF(O93=5, N108, O108)</f>
        <v>9.4760000000000009</v>
      </c>
      <c r="U107" s="46" t="str">
        <f>P108</f>
        <v>S₁&lt;  S  &lt; S₂</v>
      </c>
      <c r="V107" s="36"/>
      <c r="X107" s="36"/>
      <c r="Z107" s="36"/>
    </row>
    <row r="108" spans="1:26" s="31" customFormat="1" ht="15.95" hidden="1" customHeight="1" x14ac:dyDescent="0.15">
      <c r="A108" s="8"/>
      <c r="B108" s="20" t="s">
        <v>402</v>
      </c>
      <c r="C108" s="4" t="s">
        <v>4</v>
      </c>
      <c r="D108" s="7">
        <f>D106/D107</f>
        <v>28</v>
      </c>
      <c r="E108" s="13"/>
      <c r="F108" s="8"/>
      <c r="H108" s="8"/>
      <c r="I108" s="8"/>
      <c r="J108" s="8"/>
      <c r="K108" s="8"/>
      <c r="L108" s="8"/>
      <c r="M108" s="8"/>
      <c r="N108" s="42">
        <f>11.8-0.083*D108</f>
        <v>9.4760000000000009</v>
      </c>
      <c r="O108" s="42">
        <f>19-0.17*(D108)</f>
        <v>14.239999999999998</v>
      </c>
      <c r="P108" s="21" t="s">
        <v>348</v>
      </c>
      <c r="Q108" s="88" t="s">
        <v>349</v>
      </c>
      <c r="S108" s="44">
        <v>3</v>
      </c>
      <c r="T108" s="47">
        <f>IF(O93=5, N110, O110)</f>
        <v>13.642857142857142</v>
      </c>
      <c r="U108" s="44" t="str">
        <f>P110</f>
        <v>S  ≥  S₂</v>
      </c>
      <c r="V108" s="36"/>
      <c r="X108" s="36"/>
      <c r="Z108" s="36"/>
    </row>
    <row r="109" spans="1:26" s="31" customFormat="1" ht="15.95" hidden="1" customHeight="1" thickBot="1" x14ac:dyDescent="0.2">
      <c r="A109" s="8"/>
      <c r="B109" s="20" t="s">
        <v>365</v>
      </c>
      <c r="C109" s="4" t="s">
        <v>4</v>
      </c>
      <c r="D109" s="8">
        <f>T110</f>
        <v>9.4760000000000009</v>
      </c>
      <c r="E109" s="13" t="s">
        <v>232</v>
      </c>
      <c r="F109" s="8"/>
      <c r="G109" s="8"/>
      <c r="H109" s="8"/>
      <c r="I109" s="8"/>
      <c r="J109" s="8"/>
      <c r="K109" s="8"/>
      <c r="L109" s="8"/>
      <c r="M109" s="8"/>
      <c r="N109" s="42">
        <v>50</v>
      </c>
      <c r="O109" s="42">
        <v>39</v>
      </c>
      <c r="P109" s="21" t="s">
        <v>352</v>
      </c>
      <c r="Q109" s="39" t="s">
        <v>353</v>
      </c>
      <c r="V109" s="36"/>
      <c r="X109" s="36"/>
      <c r="Z109" s="36"/>
    </row>
    <row r="110" spans="1:26" s="31" customFormat="1" ht="15.95" hidden="1" customHeight="1" thickBot="1" x14ac:dyDescent="0.2">
      <c r="A110" s="8"/>
      <c r="B110" s="27"/>
      <c r="C110" s="4" t="s">
        <v>4</v>
      </c>
      <c r="D110" s="13">
        <f>D109*6.894757</f>
        <v>65.334717332000011</v>
      </c>
      <c r="E110" s="13" t="s">
        <v>561</v>
      </c>
      <c r="F110" s="8"/>
      <c r="G110" s="8"/>
      <c r="H110" s="8"/>
      <c r="I110" s="8"/>
      <c r="J110" s="8"/>
      <c r="K110" s="8"/>
      <c r="L110" s="8"/>
      <c r="M110" s="8"/>
      <c r="N110" s="48">
        <f>382/D108</f>
        <v>13.642857142857142</v>
      </c>
      <c r="O110" s="48">
        <f>484/D108</f>
        <v>17.285714285714285</v>
      </c>
      <c r="P110" s="21" t="s">
        <v>355</v>
      </c>
      <c r="Q110" s="44">
        <f>D108</f>
        <v>28</v>
      </c>
      <c r="S110" s="89">
        <f>IF(Q110&lt;=Q107,1,IF(AND(Q110&gt;Q107,Q110&lt;R107),2,3))</f>
        <v>2</v>
      </c>
      <c r="T110" s="49">
        <f>VLOOKUP(S110, S106:T108, 2, FALSE)</f>
        <v>9.4760000000000009</v>
      </c>
      <c r="U110" s="50" t="str">
        <f>VLOOKUP(S110,S106:U108, 3, FALSE)</f>
        <v>S₁&lt;  S  &lt; S₂</v>
      </c>
      <c r="V110" s="36"/>
      <c r="X110" s="36"/>
      <c r="Z110" s="36"/>
    </row>
    <row r="111" spans="1:26" s="31" customFormat="1" ht="15.95" hidden="1" customHeight="1" x14ac:dyDescent="0.15">
      <c r="A111" s="8"/>
      <c r="C111" s="4"/>
      <c r="D111" s="13"/>
      <c r="E111" s="13"/>
      <c r="F111" s="22"/>
      <c r="G111" s="22"/>
      <c r="H111" s="22"/>
      <c r="I111" s="8"/>
      <c r="J111" s="8"/>
      <c r="K111" s="8"/>
      <c r="L111" s="8"/>
      <c r="M111" s="8"/>
      <c r="V111" s="36"/>
      <c r="X111" s="36"/>
      <c r="Z111" s="36"/>
    </row>
    <row r="112" spans="1:26" s="31" customFormat="1" ht="15.95" hidden="1" customHeight="1" x14ac:dyDescent="0.15">
      <c r="A112" s="8"/>
      <c r="B112" s="33" t="s">
        <v>356</v>
      </c>
      <c r="C112" s="33"/>
      <c r="D112" s="131"/>
      <c r="E112" s="131"/>
      <c r="F112" s="33"/>
      <c r="G112" s="34" t="s">
        <v>370</v>
      </c>
      <c r="H112" s="85"/>
      <c r="I112" s="8"/>
      <c r="J112" s="33"/>
      <c r="K112" s="8"/>
      <c r="L112" s="8"/>
      <c r="M112" s="8"/>
      <c r="N112" s="36" t="s">
        <v>337</v>
      </c>
      <c r="O112" s="443">
        <v>18</v>
      </c>
      <c r="P112" s="8"/>
      <c r="S112" s="8"/>
      <c r="V112" s="36"/>
      <c r="X112" s="36"/>
      <c r="Z112" s="36"/>
    </row>
    <row r="113" spans="1:26" s="31" customFormat="1" ht="15.95" hidden="1" customHeight="1" x14ac:dyDescent="0.15">
      <c r="A113" s="8"/>
      <c r="B113" s="33"/>
      <c r="C113" s="33"/>
      <c r="D113" s="131"/>
      <c r="E113" s="131"/>
      <c r="F113" s="33"/>
      <c r="G113" s="33"/>
      <c r="H113" s="33"/>
      <c r="I113" s="8"/>
      <c r="J113" s="33"/>
      <c r="K113" s="8"/>
      <c r="L113" s="8"/>
      <c r="M113" s="22" t="s">
        <v>338</v>
      </c>
      <c r="N113" s="87">
        <v>5</v>
      </c>
      <c r="O113" s="87">
        <v>6</v>
      </c>
      <c r="Q113" s="790" t="s">
        <v>339</v>
      </c>
      <c r="R113" s="791"/>
      <c r="S113" s="792" t="s">
        <v>374</v>
      </c>
      <c r="T113" s="793"/>
      <c r="U113" s="794"/>
      <c r="V113" s="36"/>
      <c r="X113" s="36"/>
      <c r="Z113" s="36"/>
    </row>
    <row r="114" spans="1:26" s="31" customFormat="1" ht="15.95" hidden="1" customHeight="1" x14ac:dyDescent="0.15">
      <c r="A114" s="8"/>
      <c r="B114" s="20" t="s">
        <v>120</v>
      </c>
      <c r="C114" s="4" t="s">
        <v>4</v>
      </c>
      <c r="D114" s="7">
        <f>R41</f>
        <v>116</v>
      </c>
      <c r="E114" s="13" t="s">
        <v>583</v>
      </c>
      <c r="F114" s="8"/>
      <c r="G114" s="20" t="str">
        <f>U118</f>
        <v>S  ≤  S₁</v>
      </c>
      <c r="K114" s="8"/>
      <c r="L114" s="8"/>
      <c r="M114" s="8"/>
      <c r="N114" s="37">
        <v>12.6</v>
      </c>
      <c r="O114" s="37">
        <v>19.7</v>
      </c>
      <c r="P114" s="21" t="s">
        <v>342</v>
      </c>
      <c r="Q114" s="38" t="s">
        <v>343</v>
      </c>
      <c r="R114" s="39" t="s">
        <v>344</v>
      </c>
      <c r="S114" s="39">
        <v>1</v>
      </c>
      <c r="T114" s="40">
        <f>IF(O93=5, N114, O114)</f>
        <v>12.6</v>
      </c>
      <c r="U114" s="39" t="str">
        <f>P114</f>
        <v>S  ≤  S₁</v>
      </c>
      <c r="V114" s="36"/>
      <c r="X114" s="36"/>
      <c r="Z114" s="36"/>
    </row>
    <row r="115" spans="1:26" s="31" customFormat="1" ht="15.95" hidden="1" customHeight="1" x14ac:dyDescent="0.15">
      <c r="A115" s="8"/>
      <c r="B115" s="20" t="s">
        <v>379</v>
      </c>
      <c r="C115" s="4" t="s">
        <v>4</v>
      </c>
      <c r="D115" s="7">
        <f>R43</f>
        <v>2</v>
      </c>
      <c r="E115" s="13" t="s">
        <v>583</v>
      </c>
      <c r="F115" s="8"/>
      <c r="H115" s="8"/>
      <c r="I115" s="8"/>
      <c r="J115" s="8"/>
      <c r="K115" s="8"/>
      <c r="L115" s="8"/>
      <c r="M115" s="8"/>
      <c r="N115" s="42">
        <v>61</v>
      </c>
      <c r="O115" s="42">
        <v>54.9</v>
      </c>
      <c r="P115" s="21" t="s">
        <v>347</v>
      </c>
      <c r="Q115" s="43">
        <f>IF(O93=5, N115,O115)</f>
        <v>61</v>
      </c>
      <c r="R115" s="44">
        <f>IF(O93=5,N117,O117)</f>
        <v>115</v>
      </c>
      <c r="S115" s="46">
        <v>2</v>
      </c>
      <c r="T115" s="45">
        <f>IF(O93=5, N116, O116)</f>
        <v>12.808000000000002</v>
      </c>
      <c r="U115" s="46" t="str">
        <f>P116</f>
        <v>S₁&lt;  S  &lt; S₂</v>
      </c>
      <c r="V115" s="36"/>
      <c r="X115" s="36"/>
      <c r="Z115" s="36"/>
    </row>
    <row r="116" spans="1:26" s="31" customFormat="1" ht="15.95" hidden="1" customHeight="1" x14ac:dyDescent="0.15">
      <c r="A116" s="8"/>
      <c r="B116" s="20" t="s">
        <v>403</v>
      </c>
      <c r="C116" s="4" t="s">
        <v>4</v>
      </c>
      <c r="D116" s="7">
        <f>D114/D115</f>
        <v>58</v>
      </c>
      <c r="E116" s="13"/>
      <c r="F116" s="8"/>
      <c r="H116" s="8"/>
      <c r="I116" s="8"/>
      <c r="J116" s="8"/>
      <c r="K116" s="8"/>
      <c r="L116" s="8"/>
      <c r="M116" s="8"/>
      <c r="N116" s="42">
        <f>17.1-0.074*D116</f>
        <v>12.808000000000002</v>
      </c>
      <c r="O116" s="42">
        <f>27.9-0.15*(D116)</f>
        <v>19.2</v>
      </c>
      <c r="P116" s="21" t="s">
        <v>348</v>
      </c>
      <c r="Q116" s="88" t="s">
        <v>349</v>
      </c>
      <c r="S116" s="44">
        <v>3</v>
      </c>
      <c r="T116" s="47">
        <f>IF(O93=5, N118, O118)</f>
        <v>17</v>
      </c>
      <c r="U116" s="44" t="str">
        <f>P118</f>
        <v>S  ≥  S₂</v>
      </c>
      <c r="V116" s="36"/>
      <c r="X116" s="36"/>
      <c r="Z116" s="36"/>
    </row>
    <row r="117" spans="1:26" s="31" customFormat="1" ht="15.95" hidden="1" customHeight="1" thickBot="1" x14ac:dyDescent="0.2">
      <c r="A117" s="8"/>
      <c r="B117" s="20" t="s">
        <v>381</v>
      </c>
      <c r="C117" s="4" t="s">
        <v>4</v>
      </c>
      <c r="D117" s="8">
        <f>T118</f>
        <v>12.6</v>
      </c>
      <c r="E117" s="13" t="s">
        <v>232</v>
      </c>
      <c r="F117" s="8"/>
      <c r="G117" s="8"/>
      <c r="H117" s="8"/>
      <c r="I117" s="8"/>
      <c r="J117" s="8"/>
      <c r="K117" s="8"/>
      <c r="L117" s="8"/>
      <c r="M117" s="8"/>
      <c r="N117" s="42">
        <v>115</v>
      </c>
      <c r="O117" s="42">
        <v>93</v>
      </c>
      <c r="P117" s="21" t="s">
        <v>352</v>
      </c>
      <c r="Q117" s="39" t="s">
        <v>353</v>
      </c>
      <c r="V117" s="36"/>
      <c r="X117" s="36"/>
      <c r="Z117" s="36"/>
    </row>
    <row r="118" spans="1:26" s="31" customFormat="1" ht="15.95" hidden="1" customHeight="1" thickBot="1" x14ac:dyDescent="0.2">
      <c r="A118" s="8"/>
      <c r="B118" s="22"/>
      <c r="C118" s="4" t="s">
        <v>4</v>
      </c>
      <c r="D118" s="13">
        <f>D117*6.894757</f>
        <v>86.873938199999998</v>
      </c>
      <c r="E118" s="13" t="s">
        <v>561</v>
      </c>
      <c r="F118" s="8"/>
      <c r="G118" s="8"/>
      <c r="H118" s="8"/>
      <c r="I118" s="8"/>
      <c r="J118" s="8"/>
      <c r="K118" s="8"/>
      <c r="L118" s="8"/>
      <c r="M118" s="8"/>
      <c r="N118" s="48">
        <f>986/D116</f>
        <v>17</v>
      </c>
      <c r="O118" s="48">
        <f>1298/D116</f>
        <v>22.379310344827587</v>
      </c>
      <c r="P118" s="21" t="s">
        <v>355</v>
      </c>
      <c r="Q118" s="44">
        <f>D116</f>
        <v>58</v>
      </c>
      <c r="S118" s="89">
        <f>IF(Q118&lt;=Q115,1,IF(AND(Q118&gt;Q115,Q118&lt;=R115),2,3))</f>
        <v>1</v>
      </c>
      <c r="T118" s="49">
        <f>VLOOKUP(S118, S114:T116, 2, FALSE)</f>
        <v>12.6</v>
      </c>
      <c r="U118" s="50" t="str">
        <f>VLOOKUP(S118,S114:U116, 3, FALSE)</f>
        <v>S  ≤  S₁</v>
      </c>
      <c r="V118" s="36"/>
      <c r="X118" s="36"/>
      <c r="Z118" s="36"/>
    </row>
    <row r="119" spans="1:26" s="31" customFormat="1" ht="15.95" hidden="1" customHeight="1" x14ac:dyDescent="0.15">
      <c r="A119" s="8"/>
      <c r="B119" s="8"/>
      <c r="C119" s="8"/>
      <c r="D119" s="13"/>
      <c r="E119" s="13"/>
      <c r="F119" s="8"/>
      <c r="G119" s="8"/>
      <c r="H119" s="8"/>
      <c r="I119" s="8"/>
      <c r="J119" s="8"/>
      <c r="K119" s="8"/>
      <c r="L119" s="8"/>
      <c r="M119" s="8"/>
      <c r="N119" s="21"/>
      <c r="V119" s="36"/>
      <c r="X119" s="36"/>
      <c r="Z119" s="36"/>
    </row>
    <row r="120" spans="1:26" s="31" customFormat="1" ht="15.95" hidden="1" customHeight="1" x14ac:dyDescent="0.15">
      <c r="A120" s="8"/>
      <c r="B120" s="19" t="s">
        <v>382</v>
      </c>
      <c r="C120" s="8"/>
      <c r="D120" s="13"/>
      <c r="E120" s="3" t="s">
        <v>383</v>
      </c>
      <c r="F120" s="8" t="s">
        <v>384</v>
      </c>
      <c r="G120" s="8"/>
      <c r="H120" s="8"/>
      <c r="I120" s="8"/>
      <c r="J120" s="8"/>
      <c r="K120" s="8"/>
      <c r="L120" s="8"/>
      <c r="M120" s="8"/>
      <c r="N120" s="21"/>
      <c r="V120" s="36"/>
      <c r="X120" s="36"/>
      <c r="Z120" s="36"/>
    </row>
    <row r="121" spans="1:26" s="31" customFormat="1" ht="15.95" hidden="1" customHeight="1" x14ac:dyDescent="0.15">
      <c r="A121" s="8"/>
      <c r="B121" s="19"/>
      <c r="C121" s="8"/>
      <c r="D121" s="13"/>
      <c r="E121" s="13"/>
      <c r="F121" s="8"/>
      <c r="G121" s="8"/>
      <c r="H121" s="8"/>
      <c r="I121" s="8"/>
      <c r="J121" s="8"/>
      <c r="K121" s="8"/>
      <c r="L121" s="8"/>
      <c r="M121" s="8"/>
      <c r="N121" s="21"/>
      <c r="V121" s="36"/>
      <c r="X121" s="36"/>
      <c r="Z121" s="36"/>
    </row>
    <row r="122" spans="1:26" s="31" customFormat="1" ht="15.95" hidden="1" customHeight="1" x14ac:dyDescent="0.15">
      <c r="A122" s="8"/>
      <c r="B122" s="20" t="s">
        <v>180</v>
      </c>
      <c r="C122" s="4" t="s">
        <v>4</v>
      </c>
      <c r="D122" s="783" t="s">
        <v>625</v>
      </c>
      <c r="E122" s="783"/>
      <c r="F122" s="8"/>
      <c r="G122" s="8"/>
      <c r="H122" s="8"/>
      <c r="I122" s="8"/>
      <c r="J122" s="8"/>
      <c r="K122" s="8"/>
      <c r="L122" s="8"/>
      <c r="M122" s="8"/>
      <c r="N122" s="21"/>
      <c r="V122" s="36"/>
      <c r="X122" s="36"/>
      <c r="Z122" s="36"/>
    </row>
    <row r="123" spans="1:26" s="31" customFormat="1" ht="15.95" hidden="1" customHeight="1" x14ac:dyDescent="0.15">
      <c r="A123" s="8"/>
      <c r="B123" s="22"/>
      <c r="C123" s="4" t="s">
        <v>4</v>
      </c>
      <c r="D123" s="7">
        <f>0.85*D14/D44</f>
        <v>0</v>
      </c>
      <c r="E123" s="13" t="s">
        <v>561</v>
      </c>
      <c r="F123" s="8"/>
      <c r="G123" s="8"/>
      <c r="H123" s="8"/>
      <c r="I123" s="8"/>
      <c r="J123" s="8"/>
      <c r="K123" s="8"/>
      <c r="L123" s="8"/>
      <c r="M123" s="8"/>
      <c r="N123" s="8"/>
      <c r="O123" s="8"/>
      <c r="V123" s="36"/>
      <c r="X123" s="36"/>
      <c r="Z123" s="36"/>
    </row>
    <row r="124" spans="1:26" s="31" customFormat="1" ht="15.95" hidden="1" customHeight="1" x14ac:dyDescent="0.15">
      <c r="A124" s="8"/>
      <c r="B124" s="20" t="s">
        <v>184</v>
      </c>
      <c r="C124" s="4" t="s">
        <v>4</v>
      </c>
      <c r="D124" s="6" t="s">
        <v>387</v>
      </c>
      <c r="E124" s="132"/>
      <c r="F124" s="20"/>
      <c r="H124" s="8"/>
      <c r="I124" s="8"/>
      <c r="J124" s="8"/>
      <c r="K124" s="8"/>
      <c r="L124" s="8"/>
      <c r="M124" s="8"/>
      <c r="N124" s="8"/>
      <c r="O124" s="8"/>
      <c r="V124" s="36"/>
      <c r="X124" s="36"/>
      <c r="Z124" s="36"/>
    </row>
    <row r="125" spans="1:26" s="31" customFormat="1" ht="15.95" hidden="1" customHeight="1" x14ac:dyDescent="0.15">
      <c r="A125" s="8"/>
      <c r="B125" s="27"/>
      <c r="C125" s="4" t="s">
        <v>4</v>
      </c>
      <c r="D125" s="51">
        <f>MIN(D102,D110,D118)</f>
        <v>65.334717332000011</v>
      </c>
      <c r="E125" s="13" t="s">
        <v>561</v>
      </c>
      <c r="F125" s="8"/>
      <c r="G125" s="22"/>
      <c r="H125" s="27"/>
      <c r="I125" s="22"/>
      <c r="J125" s="8"/>
      <c r="K125" s="8"/>
      <c r="L125" s="8"/>
      <c r="M125" s="8"/>
      <c r="N125" s="8"/>
      <c r="O125" s="8"/>
      <c r="V125" s="36"/>
      <c r="X125" s="36"/>
      <c r="Z125" s="36"/>
    </row>
    <row r="126" spans="1:26" s="31" customFormat="1" ht="15.95" hidden="1" customHeight="1" x14ac:dyDescent="0.15">
      <c r="A126" s="8"/>
      <c r="C126" s="4"/>
      <c r="F126" s="8"/>
      <c r="G126" s="8"/>
      <c r="H126" s="8"/>
      <c r="I126" s="8"/>
      <c r="J126" s="8"/>
      <c r="K126" s="8"/>
      <c r="L126" s="8"/>
      <c r="M126" s="8"/>
      <c r="N126" s="8"/>
      <c r="O126" s="8"/>
      <c r="V126" s="36"/>
      <c r="X126" s="36"/>
      <c r="Z126" s="36"/>
    </row>
    <row r="127" spans="1:26" ht="15.95" hidden="1" customHeight="1" x14ac:dyDescent="0.15">
      <c r="N127" s="4"/>
    </row>
    <row r="128" spans="1:26" ht="15.95" hidden="1" customHeight="1" x14ac:dyDescent="0.15">
      <c r="B128" s="19" t="s">
        <v>187</v>
      </c>
      <c r="N128" s="4"/>
    </row>
    <row r="129" spans="1:14" ht="15.95" hidden="1" customHeight="1" x14ac:dyDescent="0.15">
      <c r="N129" s="4"/>
    </row>
    <row r="130" spans="1:14" ht="15.95" hidden="1" customHeight="1" x14ac:dyDescent="0.15">
      <c r="B130" s="20" t="s">
        <v>404</v>
      </c>
      <c r="C130" s="4" t="s">
        <v>4</v>
      </c>
      <c r="D130" s="22">
        <f>D123/D125</f>
        <v>0</v>
      </c>
      <c r="E130" s="23" t="str">
        <f>IF(D130&gt;F130,"&gt;","&lt;")</f>
        <v>&lt;</v>
      </c>
      <c r="F130" s="3">
        <v>1</v>
      </c>
      <c r="G130" s="91" t="str">
        <f>IF(D130&lt;F130,"O.K.","N.G.")</f>
        <v>O.K.</v>
      </c>
      <c r="N130" s="4"/>
    </row>
    <row r="131" spans="1:14" ht="15.95" hidden="1" customHeight="1" x14ac:dyDescent="0.15">
      <c r="B131" s="52"/>
      <c r="D131" s="27"/>
      <c r="N131" s="4"/>
    </row>
    <row r="132" spans="1:14" ht="15.95" hidden="1" customHeight="1" x14ac:dyDescent="0.15">
      <c r="A132" s="27"/>
      <c r="B132" s="27"/>
      <c r="C132" s="27"/>
      <c r="D132" s="27"/>
      <c r="E132" s="27"/>
      <c r="F132" s="33"/>
      <c r="G132" s="27"/>
      <c r="H132" s="27"/>
      <c r="I132" s="27"/>
      <c r="J132" s="27"/>
      <c r="K132" s="27"/>
      <c r="L132" s="27"/>
      <c r="M132" s="27"/>
      <c r="N132" s="4"/>
    </row>
    <row r="133" spans="1:14" ht="15.95" hidden="1" customHeight="1" x14ac:dyDescent="0.1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4"/>
    </row>
    <row r="134" spans="1:14" ht="15.95" hidden="1" customHeight="1" x14ac:dyDescent="0.1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4"/>
    </row>
    <row r="135" spans="1:14" ht="15.95" hidden="1" customHeight="1" x14ac:dyDescent="0.15">
      <c r="B135" s="33"/>
      <c r="D135" s="27"/>
    </row>
    <row r="136" spans="1:14" ht="15.95" hidden="1" customHeight="1" x14ac:dyDescent="0.15">
      <c r="B136" s="33"/>
      <c r="D136" s="27"/>
    </row>
    <row r="137" spans="1:14" ht="15.95" hidden="1" customHeight="1" x14ac:dyDescent="0.15">
      <c r="B137" s="33"/>
      <c r="D137" s="27"/>
    </row>
    <row r="138" spans="1:14" ht="15.95" hidden="1" customHeight="1" x14ac:dyDescent="0.15">
      <c r="B138" s="33"/>
      <c r="D138" s="27"/>
    </row>
    <row r="139" spans="1:14" ht="15.95" hidden="1" customHeight="1" x14ac:dyDescent="0.15">
      <c r="B139" s="24" t="s">
        <v>190</v>
      </c>
    </row>
    <row r="140" spans="1:14" ht="15.95" hidden="1" customHeight="1" x14ac:dyDescent="0.15"/>
    <row r="141" spans="1:14" ht="15.95" hidden="1" customHeight="1" x14ac:dyDescent="0.15">
      <c r="B141" s="19" t="s">
        <v>192</v>
      </c>
    </row>
    <row r="142" spans="1:14" ht="15.95" hidden="1" customHeight="1" x14ac:dyDescent="0.15">
      <c r="B142" s="19"/>
    </row>
    <row r="143" spans="1:14" ht="15.95" hidden="1" customHeight="1" x14ac:dyDescent="0.15">
      <c r="B143" s="62" t="s">
        <v>165</v>
      </c>
      <c r="C143" s="4" t="s">
        <v>4</v>
      </c>
      <c r="D143" s="8">
        <f>D16</f>
        <v>0</v>
      </c>
      <c r="E143" s="13" t="s">
        <v>583</v>
      </c>
    </row>
    <row r="144" spans="1:14" ht="15.95" hidden="1" customHeight="1" x14ac:dyDescent="0.15"/>
    <row r="145" spans="1:26" ht="15.95" hidden="1" customHeight="1" x14ac:dyDescent="0.15"/>
    <row r="146" spans="1:26" ht="15.95" hidden="1" customHeight="1" x14ac:dyDescent="0.15">
      <c r="B146" s="19" t="s">
        <v>191</v>
      </c>
      <c r="E146" s="26" t="s">
        <v>195</v>
      </c>
    </row>
    <row r="147" spans="1:26" ht="15.95" hidden="1" customHeight="1" x14ac:dyDescent="0.15">
      <c r="B147" s="19"/>
    </row>
    <row r="148" spans="1:26" ht="15.95" hidden="1" customHeight="1" x14ac:dyDescent="0.15">
      <c r="B148" s="62" t="s">
        <v>2</v>
      </c>
      <c r="C148" s="4" t="s">
        <v>4</v>
      </c>
      <c r="D148" s="142">
        <f>D9</f>
        <v>5000</v>
      </c>
      <c r="E148" s="8" t="str">
        <f>IF(D148&gt;4110,"mm      &gt;     4110 mm","mm     ≤     4110 mm")</f>
        <v>mm      &gt;     4110 mm</v>
      </c>
      <c r="M148" s="27" t="s">
        <v>196</v>
      </c>
      <c r="N148" s="25">
        <f>D148/240+6.35</f>
        <v>27.18333333333333</v>
      </c>
    </row>
    <row r="149" spans="1:26" ht="15.95" hidden="1" customHeight="1" x14ac:dyDescent="0.15">
      <c r="B149" s="62" t="s">
        <v>193</v>
      </c>
      <c r="C149" s="4" t="s">
        <v>4</v>
      </c>
      <c r="D149" s="152">
        <f>D148</f>
        <v>5000</v>
      </c>
      <c r="E149" s="19" t="str">
        <f>IF(D148&lt;4110,"mm      /     175","mm      /      240 + 6.35 mm ")</f>
        <v xml:space="preserve">mm      /      240 + 6.35 mm </v>
      </c>
      <c r="M149" s="27" t="s">
        <v>197</v>
      </c>
      <c r="N149" s="25">
        <f>D148/175</f>
        <v>28.571428571428573</v>
      </c>
    </row>
    <row r="150" spans="1:26" ht="15.95" hidden="1" customHeight="1" x14ac:dyDescent="0.15">
      <c r="B150" s="22"/>
      <c r="C150" s="4" t="s">
        <v>4</v>
      </c>
      <c r="D150" s="22">
        <f>IF(D148&gt;4110,N148,N149)</f>
        <v>27.18333333333333</v>
      </c>
      <c r="E150" s="8" t="s">
        <v>600</v>
      </c>
    </row>
    <row r="151" spans="1:26" ht="15.95" hidden="1" customHeight="1" x14ac:dyDescent="0.15"/>
    <row r="152" spans="1:26" ht="15.95" hidden="1" customHeight="1" x14ac:dyDescent="0.15"/>
    <row r="153" spans="1:26" ht="15.95" hidden="1" customHeight="1" x14ac:dyDescent="0.15">
      <c r="B153" s="19" t="s">
        <v>198</v>
      </c>
    </row>
    <row r="154" spans="1:26" s="4" customFormat="1" ht="15.95" hidden="1" customHeight="1" x14ac:dyDescent="0.15">
      <c r="A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O154" s="8"/>
      <c r="P154" s="8"/>
      <c r="Q154" s="8"/>
      <c r="R154" s="8"/>
      <c r="S154" s="8"/>
      <c r="T154" s="8"/>
      <c r="U154" s="8"/>
      <c r="V154" s="22"/>
      <c r="X154" s="22"/>
      <c r="Z154" s="22"/>
    </row>
    <row r="155" spans="1:26" s="4" customFormat="1" ht="15.95" hidden="1" customHeight="1" x14ac:dyDescent="0.15">
      <c r="A155" s="8"/>
      <c r="B155" s="20" t="s">
        <v>405</v>
      </c>
      <c r="C155" s="4" t="s">
        <v>4</v>
      </c>
      <c r="D155" s="22">
        <f>D143/(D150)</f>
        <v>0</v>
      </c>
      <c r="E155" s="23" t="str">
        <f>IF(D155&gt;F155,"&gt;","&lt;")</f>
        <v>&lt;</v>
      </c>
      <c r="F155" s="3">
        <v>1</v>
      </c>
      <c r="G155" s="91" t="str">
        <f>IF(D155&lt;F155,"O.K.","N.G.")</f>
        <v>O.K.</v>
      </c>
      <c r="I155" s="27"/>
      <c r="J155" s="27"/>
      <c r="K155" s="27"/>
      <c r="L155" s="27"/>
      <c r="M155" s="27"/>
      <c r="O155" s="8"/>
      <c r="P155" s="8"/>
      <c r="Q155" s="8"/>
      <c r="R155" s="8"/>
      <c r="S155" s="8"/>
      <c r="T155" s="8"/>
      <c r="U155" s="8"/>
      <c r="V155" s="22"/>
      <c r="X155" s="22"/>
      <c r="Z155" s="22"/>
    </row>
    <row r="156" spans="1:26" ht="15.95" hidden="1" customHeight="1" x14ac:dyDescent="0.15"/>
    <row r="157" spans="1:26" ht="15.95" hidden="1" customHeight="1" x14ac:dyDescent="0.15"/>
    <row r="158" spans="1:26" ht="15.95" hidden="1" customHeight="1" x14ac:dyDescent="0.15"/>
    <row r="159" spans="1:26" ht="15.95" hidden="1" customHeight="1" x14ac:dyDescent="0.15"/>
  </sheetData>
  <sheetProtection algorithmName="SHA-512" hashValue="4BvmiWkNzdJqha7jzDVsHV3thMAOSefpRwsGOsnHU/udtj83WnRVVD/FFDFpmQmh8MrkKVIIruZvjAcCkQN+bQ==" saltValue="fA3K9UY1GXbPpcSEOF02hw==" spinCount="100000" sheet="1" objects="1" scenarios="1" selectLockedCells="1"/>
  <protectedRanges>
    <protectedRange sqref="D7:D10" name="범위1_2"/>
  </protectedRanges>
  <mergeCells count="12">
    <mergeCell ref="M6:N6"/>
    <mergeCell ref="D122:E122"/>
    <mergeCell ref="G22:K45"/>
    <mergeCell ref="Q96:R96"/>
    <mergeCell ref="S96:U96"/>
    <mergeCell ref="Q105:R105"/>
    <mergeCell ref="S105:U105"/>
    <mergeCell ref="Q113:R113"/>
    <mergeCell ref="S113:U113"/>
    <mergeCell ref="N13:N14"/>
    <mergeCell ref="O13:O14"/>
    <mergeCell ref="B46:K46"/>
  </mergeCells>
  <phoneticPr fontId="1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</sheetPr>
  <dimension ref="A1:AA187"/>
  <sheetViews>
    <sheetView view="pageBreakPreview" zoomScale="75" zoomScaleNormal="100" zoomScaleSheetLayoutView="75" workbookViewId="0"/>
  </sheetViews>
  <sheetFormatPr defaultRowHeight="15.95" customHeight="1" x14ac:dyDescent="0.15"/>
  <cols>
    <col min="1" max="1" width="2.77734375" style="8" customWidth="1"/>
    <col min="2" max="2" width="7.33203125" style="8" customWidth="1"/>
    <col min="3" max="3" width="5.33203125" style="8" customWidth="1"/>
    <col min="4" max="4" width="9.33203125" style="8" customWidth="1"/>
    <col min="5" max="5" width="5.33203125" style="8" customWidth="1"/>
    <col min="6" max="6" width="9.33203125" style="8" customWidth="1"/>
    <col min="7" max="8" width="7.33203125" style="8" customWidth="1"/>
    <col min="9" max="9" width="5.33203125" style="8" customWidth="1"/>
    <col min="10" max="10" width="9.33203125" style="8" customWidth="1"/>
    <col min="11" max="11" width="7.33203125" style="8" customWidth="1"/>
    <col min="12" max="12" width="2.77734375" style="8" customWidth="1"/>
    <col min="13" max="14" width="6.77734375" style="8" customWidth="1"/>
    <col min="15" max="15" width="8.77734375" style="8" customWidth="1"/>
    <col min="16" max="16" width="9.77734375" style="8" customWidth="1"/>
    <col min="17" max="17" width="6.77734375" style="8" customWidth="1"/>
    <col min="18" max="18" width="8.77734375" style="8" customWidth="1"/>
    <col min="19" max="20" width="6.77734375" style="8" customWidth="1"/>
    <col min="21" max="21" width="9.77734375" style="8" customWidth="1"/>
    <col min="22" max="22" width="8.88671875" style="22"/>
    <col min="23" max="23" width="5.77734375" style="8" customWidth="1"/>
    <col min="24" max="24" width="5.77734375" style="22" customWidth="1"/>
    <col min="25" max="25" width="5.77734375" style="8" customWidth="1"/>
    <col min="26" max="26" width="5.77734375" style="22" customWidth="1"/>
    <col min="27" max="27" width="5.77734375" style="8" customWidth="1"/>
    <col min="28" max="16384" width="8.88671875" style="8"/>
  </cols>
  <sheetData>
    <row r="1" spans="1:27" ht="15.95" customHeight="1" x14ac:dyDescent="0.15">
      <c r="A1" s="60" t="s">
        <v>233</v>
      </c>
    </row>
    <row r="3" spans="1:27" ht="15.95" customHeight="1" x14ac:dyDescent="0.15">
      <c r="B3" s="61" t="s">
        <v>102</v>
      </c>
    </row>
    <row r="4" spans="1:27" ht="15.95" customHeight="1" x14ac:dyDescent="0.15">
      <c r="V4" s="64" t="s">
        <v>200</v>
      </c>
      <c r="W4" s="8">
        <f>W18*Y18</f>
        <v>60</v>
      </c>
      <c r="X4" s="64" t="s">
        <v>201</v>
      </c>
      <c r="Y4" s="8">
        <f>Y18/2</f>
        <v>15</v>
      </c>
      <c r="Z4" s="64" t="s">
        <v>202</v>
      </c>
      <c r="AA4" s="8">
        <f>W17+Y16/2</f>
        <v>30</v>
      </c>
    </row>
    <row r="5" spans="1:27" ht="15.95" customHeight="1" x14ac:dyDescent="0.15">
      <c r="B5" s="62" t="s">
        <v>103</v>
      </c>
      <c r="C5" s="4" t="s">
        <v>4</v>
      </c>
      <c r="D5" s="26">
        <f>(SUMPRODUCT((N8:N10=N7)*(O7:P7=M7),O8:P10))</f>
        <v>0</v>
      </c>
      <c r="E5" s="27" t="s">
        <v>560</v>
      </c>
      <c r="H5" s="20" t="s">
        <v>113</v>
      </c>
      <c r="I5" s="33"/>
      <c r="M5" s="22"/>
      <c r="P5" s="2"/>
      <c r="Q5" s="2"/>
      <c r="V5" s="64" t="s">
        <v>203</v>
      </c>
      <c r="W5" s="8">
        <f>Y16*W16</f>
        <v>112</v>
      </c>
      <c r="X5" s="64" t="s">
        <v>204</v>
      </c>
      <c r="Y5" s="8">
        <f>Y18+W16/2</f>
        <v>31</v>
      </c>
      <c r="Z5" s="64" t="s">
        <v>205</v>
      </c>
      <c r="AA5" s="8">
        <f>W17+Y16/2</f>
        <v>30</v>
      </c>
    </row>
    <row r="6" spans="1:27" ht="15.95" customHeight="1" x14ac:dyDescent="0.15">
      <c r="B6" s="62" t="s">
        <v>235</v>
      </c>
      <c r="C6" s="4" t="s">
        <v>4</v>
      </c>
      <c r="D6" s="147">
        <f>710100/100*9.80665</f>
        <v>69637.021649999995</v>
      </c>
      <c r="E6" s="27" t="s">
        <v>561</v>
      </c>
      <c r="F6" s="64" t="s">
        <v>236</v>
      </c>
      <c r="G6" s="684">
        <v>5</v>
      </c>
      <c r="H6" s="20" t="s">
        <v>248</v>
      </c>
      <c r="I6" s="27"/>
      <c r="M6" s="782" t="s">
        <v>651</v>
      </c>
      <c r="N6" s="782"/>
      <c r="O6" s="163"/>
      <c r="P6" s="164"/>
      <c r="V6" s="64" t="s">
        <v>206</v>
      </c>
      <c r="W6" s="8">
        <f>Y16*W16</f>
        <v>112</v>
      </c>
      <c r="X6" s="64" t="s">
        <v>207</v>
      </c>
      <c r="Y6" s="8">
        <f>Y18+(Y17-W16)+W16/2</f>
        <v>149</v>
      </c>
      <c r="Z6" s="64" t="s">
        <v>208</v>
      </c>
      <c r="AA6" s="8">
        <f>W17+Y16/2</f>
        <v>30</v>
      </c>
    </row>
    <row r="7" spans="1:27" ht="15.95" customHeight="1" x14ac:dyDescent="0.15">
      <c r="B7" s="62" t="s">
        <v>104</v>
      </c>
      <c r="C7" s="4" t="s">
        <v>4</v>
      </c>
      <c r="D7" s="683">
        <v>1200</v>
      </c>
      <c r="E7" s="27" t="s">
        <v>562</v>
      </c>
      <c r="H7" s="20" t="s">
        <v>114</v>
      </c>
      <c r="M7" s="685" t="s">
        <v>649</v>
      </c>
      <c r="N7" s="686">
        <v>1</v>
      </c>
      <c r="O7" s="160" t="s">
        <v>649</v>
      </c>
      <c r="P7" s="160" t="s">
        <v>650</v>
      </c>
      <c r="V7" s="64" t="s">
        <v>209</v>
      </c>
      <c r="W7" s="8">
        <f>Y17*W17</f>
        <v>240</v>
      </c>
      <c r="X7" s="64" t="s">
        <v>210</v>
      </c>
      <c r="Y7" s="8">
        <f>Y18+Y17/2</f>
        <v>90</v>
      </c>
      <c r="Z7" s="64" t="s">
        <v>211</v>
      </c>
      <c r="AA7" s="8">
        <f>W17/2</f>
        <v>1</v>
      </c>
    </row>
    <row r="8" spans="1:27" ht="15.95" customHeight="1" x14ac:dyDescent="0.15">
      <c r="B8" s="62" t="s">
        <v>105</v>
      </c>
      <c r="C8" s="4" t="s">
        <v>4</v>
      </c>
      <c r="D8" s="683">
        <v>1500</v>
      </c>
      <c r="E8" s="27" t="s">
        <v>562</v>
      </c>
      <c r="H8" s="20" t="s">
        <v>115</v>
      </c>
      <c r="M8" s="165" t="s">
        <v>557</v>
      </c>
      <c r="N8" s="161">
        <v>1</v>
      </c>
      <c r="O8" s="162" t="str">
        <f>'WIND LOAD'!T7</f>
        <v>-</v>
      </c>
      <c r="P8" s="162">
        <f>'WIND LOAD'!U7</f>
        <v>0.96</v>
      </c>
      <c r="V8" s="64" t="s">
        <v>212</v>
      </c>
      <c r="W8" s="8">
        <f>Y17*W17</f>
        <v>240</v>
      </c>
      <c r="X8" s="64" t="s">
        <v>213</v>
      </c>
      <c r="Y8" s="8">
        <f>Y18+Y17/2</f>
        <v>90</v>
      </c>
      <c r="Z8" s="64" t="s">
        <v>214</v>
      </c>
      <c r="AA8" s="8">
        <f>W17+Y16+W17/2</f>
        <v>59</v>
      </c>
    </row>
    <row r="9" spans="1:27" ht="15.95" customHeight="1" x14ac:dyDescent="0.15">
      <c r="B9" s="64" t="s">
        <v>440</v>
      </c>
      <c r="C9" s="4" t="s">
        <v>4</v>
      </c>
      <c r="D9" s="683">
        <v>5000</v>
      </c>
      <c r="E9" s="27" t="s">
        <v>562</v>
      </c>
      <c r="H9" s="20" t="s">
        <v>449</v>
      </c>
      <c r="I9" s="27"/>
      <c r="M9" s="165" t="s">
        <v>558</v>
      </c>
      <c r="N9" s="161">
        <v>2</v>
      </c>
      <c r="O9" s="162" t="str">
        <f>'WIND LOAD'!T8</f>
        <v>-</v>
      </c>
      <c r="P9" s="162">
        <f>'WIND LOAD'!U8</f>
        <v>-0.82599999999999996</v>
      </c>
      <c r="V9" s="64"/>
      <c r="X9" s="64"/>
      <c r="Z9" s="64"/>
    </row>
    <row r="10" spans="1:27" ht="15.95" customHeight="1" x14ac:dyDescent="0.15">
      <c r="B10" s="64" t="s">
        <v>441</v>
      </c>
      <c r="C10" s="4" t="s">
        <v>4</v>
      </c>
      <c r="D10" s="683">
        <v>2600</v>
      </c>
      <c r="E10" s="27" t="s">
        <v>562</v>
      </c>
      <c r="H10" s="20" t="s">
        <v>116</v>
      </c>
      <c r="M10" s="165" t="s">
        <v>559</v>
      </c>
      <c r="N10" s="161">
        <v>3</v>
      </c>
      <c r="O10" s="162" t="str">
        <f>'WIND LOAD'!T9</f>
        <v>-</v>
      </c>
      <c r="P10" s="162">
        <f>'WIND LOAD'!U9</f>
        <v>-0.98899999999999999</v>
      </c>
      <c r="V10" s="64" t="s">
        <v>215</v>
      </c>
      <c r="W10" s="8">
        <f>Y4-AA12</f>
        <v>-69.109947643979055</v>
      </c>
      <c r="X10" s="64" t="s">
        <v>216</v>
      </c>
      <c r="Y10" s="8">
        <f>AA4-AA13</f>
        <v>0</v>
      </c>
      <c r="Z10" s="64" t="s">
        <v>217</v>
      </c>
      <c r="AA10" s="140">
        <f>W4*Y4+W5*Y5+W6*Y6+W7*Y7+W8*Y8</f>
        <v>64260</v>
      </c>
    </row>
    <row r="11" spans="1:27" ht="15.95" customHeight="1" x14ac:dyDescent="0.15">
      <c r="B11" s="20"/>
      <c r="C11" s="4"/>
      <c r="D11" s="125"/>
      <c r="E11" s="27"/>
      <c r="H11" s="20"/>
      <c r="I11" s="20"/>
      <c r="V11" s="64" t="s">
        <v>219</v>
      </c>
      <c r="W11" s="8">
        <f>Y5-AA12</f>
        <v>-53.109947643979055</v>
      </c>
      <c r="X11" s="64" t="s">
        <v>220</v>
      </c>
      <c r="Y11" s="8">
        <f>AA5-AA13</f>
        <v>0</v>
      </c>
      <c r="Z11" s="64" t="s">
        <v>221</v>
      </c>
      <c r="AA11" s="140">
        <f>W4*AA4+W5*AA5+W6*AA6+W7*AA7+W8*AA8</f>
        <v>22920</v>
      </c>
    </row>
    <row r="12" spans="1:27" ht="15.95" customHeight="1" x14ac:dyDescent="0.15">
      <c r="B12" s="64"/>
      <c r="C12" s="4"/>
      <c r="D12" s="125"/>
      <c r="E12" s="27"/>
      <c r="I12" s="20"/>
      <c r="V12" s="64" t="s">
        <v>222</v>
      </c>
      <c r="W12" s="8">
        <f>Y6-AA12</f>
        <v>64.890052356020945</v>
      </c>
      <c r="X12" s="64" t="s">
        <v>223</v>
      </c>
      <c r="Y12" s="8">
        <f>AA6-AA13</f>
        <v>0</v>
      </c>
      <c r="Z12" s="64" t="s">
        <v>224</v>
      </c>
      <c r="AA12" s="8">
        <f>AA10/(W4+W5+W6+W7+W8)</f>
        <v>84.109947643979055</v>
      </c>
    </row>
    <row r="13" spans="1:27" ht="15.95" customHeight="1" x14ac:dyDescent="0.15">
      <c r="M13" s="140"/>
      <c r="N13" s="786"/>
      <c r="O13" s="786"/>
      <c r="V13" s="64" t="s">
        <v>225</v>
      </c>
      <c r="W13" s="8">
        <f>Y7-AA12</f>
        <v>5.890052356020945</v>
      </c>
      <c r="X13" s="64" t="s">
        <v>226</v>
      </c>
      <c r="Y13" s="8">
        <f>AA7-AA13</f>
        <v>-29</v>
      </c>
      <c r="Z13" s="64" t="s">
        <v>227</v>
      </c>
      <c r="AA13" s="8">
        <f>AA11/(W4+W5+W6+W7+W8)</f>
        <v>30</v>
      </c>
    </row>
    <row r="14" spans="1:27" ht="15.95" customHeight="1" x14ac:dyDescent="0.15">
      <c r="B14" s="20" t="s">
        <v>109</v>
      </c>
      <c r="C14" s="4" t="s">
        <v>4</v>
      </c>
      <c r="D14" s="147">
        <f>D84</f>
        <v>0</v>
      </c>
      <c r="E14" s="27" t="s">
        <v>615</v>
      </c>
      <c r="F14" s="20"/>
      <c r="G14" s="64" t="s">
        <v>592</v>
      </c>
      <c r="H14" s="137" t="s">
        <v>110</v>
      </c>
      <c r="I14" s="4" t="s">
        <v>4</v>
      </c>
      <c r="J14" s="92">
        <f>D130</f>
        <v>0</v>
      </c>
      <c r="K14" s="67" t="str">
        <f>IF(J14&lt;1,"O.K","N.G")</f>
        <v>O.K</v>
      </c>
      <c r="M14" s="140"/>
      <c r="N14" s="786"/>
      <c r="O14" s="786"/>
      <c r="V14" s="64" t="s">
        <v>228</v>
      </c>
      <c r="W14" s="8">
        <f>Y8-AA12</f>
        <v>5.890052356020945</v>
      </c>
      <c r="X14" s="64" t="s">
        <v>229</v>
      </c>
      <c r="Y14" s="8">
        <f>AA8-AA13</f>
        <v>29</v>
      </c>
      <c r="Z14" s="64" t="s">
        <v>230</v>
      </c>
      <c r="AA14" s="140">
        <f>((W18*Y18*Y18*Y18)/12+W4*W10*W10)+((Y16*W16*W16*W16)/12+W5*W11*W11)+((Y16*W16*W16*W16)/12+W6*W12*W12)+((W17*Y17*Y17*Y17)/12+W7*W13*W13)+((W17*Y17*Y17*Y17)/12+W8*W14*W14)</f>
        <v>1671313.4310645724</v>
      </c>
    </row>
    <row r="15" spans="1:27" ht="15.95" customHeight="1" x14ac:dyDescent="0.15">
      <c r="G15" s="64" t="s">
        <v>593</v>
      </c>
      <c r="H15" s="137" t="s">
        <v>110</v>
      </c>
      <c r="I15" s="4" t="s">
        <v>4</v>
      </c>
      <c r="J15" s="92">
        <f>D163</f>
        <v>0</v>
      </c>
      <c r="K15" s="67" t="str">
        <f>IF(J15&lt;1,"O.K","N.G")</f>
        <v>O.K</v>
      </c>
      <c r="Z15" s="64" t="s">
        <v>231</v>
      </c>
      <c r="AA15" s="140">
        <f>((Y18*W18*W18*W18)/12+W4*Y10*Y10)+((W16*Y16*Y16*Y16)/12+W5*Y11*Y11)+((W16*Y16*Y16*Y16)/12+W6*Y12*Y12)+((Y17*W17*W17*W17)/12+W7*Y13*Y13)+((Y17*W17*W17*W17)/12+W8*Y14*Y14)</f>
        <v>462398.66666666663</v>
      </c>
    </row>
    <row r="16" spans="1:27" ht="15.95" customHeight="1" x14ac:dyDescent="0.15">
      <c r="B16" s="20" t="s">
        <v>165</v>
      </c>
      <c r="C16" s="4" t="s">
        <v>4</v>
      </c>
      <c r="D16" s="63">
        <f>D87</f>
        <v>0</v>
      </c>
      <c r="E16" s="27" t="s">
        <v>562</v>
      </c>
      <c r="F16" s="20"/>
      <c r="O16" s="786"/>
      <c r="Q16" s="786"/>
      <c r="V16" s="64" t="s">
        <v>566</v>
      </c>
      <c r="W16" s="8">
        <f>O25</f>
        <v>2</v>
      </c>
      <c r="X16" s="64" t="s">
        <v>121</v>
      </c>
      <c r="Y16" s="8">
        <f>O29</f>
        <v>56</v>
      </c>
    </row>
    <row r="17" spans="2:25" ht="15.95" customHeight="1" x14ac:dyDescent="0.15">
      <c r="B17" s="20" t="s">
        <v>588</v>
      </c>
      <c r="C17" s="4" t="s">
        <v>4</v>
      </c>
      <c r="D17" s="63">
        <f>D177</f>
        <v>27.18333333333333</v>
      </c>
      <c r="E17" s="27" t="s">
        <v>562</v>
      </c>
      <c r="H17" s="64" t="s">
        <v>112</v>
      </c>
      <c r="I17" s="4" t="s">
        <v>4</v>
      </c>
      <c r="J17" s="92">
        <f>D182</f>
        <v>0</v>
      </c>
      <c r="K17" s="67" t="str">
        <f>IF(J17&lt;1,"O.K","N.G")</f>
        <v>O.K</v>
      </c>
      <c r="O17" s="786"/>
      <c r="Q17" s="786"/>
      <c r="V17" s="64" t="s">
        <v>565</v>
      </c>
      <c r="W17" s="8">
        <f>O26</f>
        <v>2</v>
      </c>
      <c r="X17" s="64" t="s">
        <v>567</v>
      </c>
      <c r="Y17" s="8">
        <f>O23</f>
        <v>120</v>
      </c>
    </row>
    <row r="18" spans="2:25" ht="15.95" customHeight="1" x14ac:dyDescent="0.15">
      <c r="V18" s="64" t="s">
        <v>571</v>
      </c>
      <c r="W18" s="8">
        <f>O27</f>
        <v>2</v>
      </c>
      <c r="X18" s="64" t="s">
        <v>568</v>
      </c>
      <c r="Y18" s="8">
        <f>O24</f>
        <v>30</v>
      </c>
    </row>
    <row r="19" spans="2:25" ht="15.95" customHeight="1" x14ac:dyDescent="0.15">
      <c r="B19" s="61" t="s">
        <v>122</v>
      </c>
      <c r="E19" s="33"/>
      <c r="H19" s="61" t="s">
        <v>589</v>
      </c>
      <c r="J19" s="682">
        <v>1</v>
      </c>
      <c r="N19" s="8" t="s">
        <v>578</v>
      </c>
      <c r="Q19" s="4" t="s">
        <v>65</v>
      </c>
    </row>
    <row r="20" spans="2:25" ht="15.95" customHeight="1" thickBot="1" x14ac:dyDescent="0.2">
      <c r="K20" s="65"/>
      <c r="L20" s="65"/>
      <c r="M20" s="65"/>
    </row>
    <row r="21" spans="2:25" ht="15.95" customHeight="1" thickBot="1" x14ac:dyDescent="0.2">
      <c r="B21" s="121"/>
      <c r="C21" s="122"/>
      <c r="D21" s="122"/>
      <c r="E21" s="122"/>
      <c r="F21" s="122"/>
      <c r="G21" s="122"/>
      <c r="H21" s="122"/>
      <c r="I21" s="122"/>
      <c r="J21" s="122"/>
      <c r="K21" s="123"/>
      <c r="N21" s="121" t="s">
        <v>333</v>
      </c>
      <c r="O21" s="122"/>
      <c r="P21" s="122"/>
      <c r="Q21" s="121" t="s">
        <v>334</v>
      </c>
      <c r="R21" s="122"/>
      <c r="S21" s="123"/>
    </row>
    <row r="22" spans="2:25" ht="15.95" customHeight="1" x14ac:dyDescent="0.15">
      <c r="B22" s="75"/>
      <c r="K22" s="94"/>
      <c r="N22" s="68" t="s">
        <v>57</v>
      </c>
      <c r="O22" s="687">
        <v>60</v>
      </c>
      <c r="P22" s="129" t="s">
        <v>572</v>
      </c>
      <c r="Q22" s="68" t="s">
        <v>57</v>
      </c>
      <c r="R22" s="687">
        <v>60</v>
      </c>
      <c r="S22" s="69" t="s">
        <v>572</v>
      </c>
    </row>
    <row r="23" spans="2:25" ht="15.95" customHeight="1" x14ac:dyDescent="0.15">
      <c r="B23" s="75"/>
      <c r="K23" s="94"/>
      <c r="N23" s="55" t="s">
        <v>244</v>
      </c>
      <c r="O23" s="688">
        <v>120</v>
      </c>
      <c r="P23" s="27" t="s">
        <v>572</v>
      </c>
      <c r="Q23" s="55" t="s">
        <v>244</v>
      </c>
      <c r="R23" s="688">
        <v>120</v>
      </c>
      <c r="S23" s="70" t="s">
        <v>572</v>
      </c>
    </row>
    <row r="24" spans="2:25" ht="15.95" customHeight="1" x14ac:dyDescent="0.15">
      <c r="B24" s="75"/>
      <c r="K24" s="94"/>
      <c r="N24" s="55" t="s">
        <v>249</v>
      </c>
      <c r="O24" s="688">
        <v>30</v>
      </c>
      <c r="P24" s="27" t="s">
        <v>572</v>
      </c>
      <c r="Q24" s="75"/>
      <c r="R24" s="689"/>
      <c r="S24" s="94"/>
    </row>
    <row r="25" spans="2:25" ht="15.95" customHeight="1" x14ac:dyDescent="0.15">
      <c r="B25" s="75"/>
      <c r="K25" s="94"/>
      <c r="N25" s="55" t="s">
        <v>118</v>
      </c>
      <c r="O25" s="688">
        <v>2</v>
      </c>
      <c r="P25" s="27" t="s">
        <v>572</v>
      </c>
      <c r="Q25" s="55" t="s">
        <v>118</v>
      </c>
      <c r="R25" s="688">
        <v>2</v>
      </c>
      <c r="S25" s="70" t="s">
        <v>572</v>
      </c>
    </row>
    <row r="26" spans="2:25" ht="15.95" customHeight="1" x14ac:dyDescent="0.15">
      <c r="B26" s="75"/>
      <c r="K26" s="94"/>
      <c r="N26" s="55" t="s">
        <v>570</v>
      </c>
      <c r="O26" s="688">
        <v>2</v>
      </c>
      <c r="P26" s="27" t="s">
        <v>572</v>
      </c>
      <c r="Q26" s="55" t="s">
        <v>119</v>
      </c>
      <c r="R26" s="690">
        <v>2</v>
      </c>
      <c r="S26" s="70" t="s">
        <v>572</v>
      </c>
    </row>
    <row r="27" spans="2:25" ht="15.95" customHeight="1" thickBot="1" x14ac:dyDescent="0.2">
      <c r="B27" s="75"/>
      <c r="K27" s="94"/>
      <c r="N27" s="55" t="s">
        <v>237</v>
      </c>
      <c r="O27" s="688">
        <v>2</v>
      </c>
      <c r="P27" s="27" t="s">
        <v>572</v>
      </c>
      <c r="Q27" s="75"/>
      <c r="R27" s="689"/>
      <c r="S27" s="94"/>
    </row>
    <row r="28" spans="2:25" ht="15.95" customHeight="1" x14ac:dyDescent="0.15">
      <c r="B28" s="75"/>
      <c r="K28" s="94"/>
      <c r="N28" s="68" t="s">
        <v>241</v>
      </c>
      <c r="O28" s="126">
        <f>O23+O24</f>
        <v>150</v>
      </c>
      <c r="P28" s="69" t="s">
        <v>562</v>
      </c>
      <c r="Q28" s="75"/>
      <c r="R28" s="689"/>
      <c r="S28" s="94"/>
    </row>
    <row r="29" spans="2:25" ht="15.95" customHeight="1" x14ac:dyDescent="0.15">
      <c r="B29" s="75"/>
      <c r="K29" s="94"/>
      <c r="N29" s="55" t="s">
        <v>121</v>
      </c>
      <c r="O29" s="7">
        <f>O22-2*O26</f>
        <v>56</v>
      </c>
      <c r="P29" s="27" t="s">
        <v>562</v>
      </c>
      <c r="Q29" s="75"/>
      <c r="R29" s="689"/>
      <c r="S29" s="94"/>
    </row>
    <row r="30" spans="2:25" ht="15.95" customHeight="1" x14ac:dyDescent="0.15">
      <c r="B30" s="75"/>
      <c r="K30" s="94"/>
      <c r="N30" s="55" t="s">
        <v>238</v>
      </c>
      <c r="O30" s="7">
        <f>AA14</f>
        <v>1671313.4310645724</v>
      </c>
      <c r="P30" s="27" t="s">
        <v>573</v>
      </c>
      <c r="Q30" s="55" t="s">
        <v>238</v>
      </c>
      <c r="R30" s="688">
        <v>2728265</v>
      </c>
      <c r="S30" s="70" t="s">
        <v>573</v>
      </c>
    </row>
    <row r="31" spans="2:25" ht="15.95" customHeight="1" x14ac:dyDescent="0.15">
      <c r="B31" s="75"/>
      <c r="K31" s="94"/>
      <c r="N31" s="55" t="s">
        <v>239</v>
      </c>
      <c r="O31" s="7">
        <f>AA15</f>
        <v>462398.66666666663</v>
      </c>
      <c r="P31" s="27" t="s">
        <v>573</v>
      </c>
      <c r="Q31" s="55" t="s">
        <v>239</v>
      </c>
      <c r="R31" s="688">
        <v>684006</v>
      </c>
      <c r="S31" s="70" t="s">
        <v>573</v>
      </c>
    </row>
    <row r="32" spans="2:25" ht="15.95" customHeight="1" x14ac:dyDescent="0.15">
      <c r="B32" s="75"/>
      <c r="K32" s="94"/>
      <c r="N32" s="55" t="s">
        <v>1092</v>
      </c>
      <c r="O32" s="7">
        <f>AA13</f>
        <v>30</v>
      </c>
      <c r="P32" s="27" t="s">
        <v>562</v>
      </c>
      <c r="Q32" s="55" t="s">
        <v>1092</v>
      </c>
      <c r="R32" s="688">
        <v>30</v>
      </c>
      <c r="S32" s="70" t="s">
        <v>572</v>
      </c>
    </row>
    <row r="33" spans="1:27" ht="15.95" customHeight="1" x14ac:dyDescent="0.15">
      <c r="B33" s="55" t="s">
        <v>241</v>
      </c>
      <c r="C33" s="4" t="s">
        <v>4</v>
      </c>
      <c r="D33" s="130">
        <f>IF($J$19=1, O28,Q19)</f>
        <v>150</v>
      </c>
      <c r="E33" s="27" t="s">
        <v>572</v>
      </c>
      <c r="F33" s="691">
        <v>100</v>
      </c>
      <c r="G33" s="447" t="s">
        <v>572</v>
      </c>
      <c r="K33" s="94"/>
      <c r="N33" s="55" t="s">
        <v>1093</v>
      </c>
      <c r="O33" s="7">
        <f>AA12</f>
        <v>84.109947643979055</v>
      </c>
      <c r="P33" s="27" t="s">
        <v>562</v>
      </c>
      <c r="Q33" s="55" t="s">
        <v>1093</v>
      </c>
      <c r="R33" s="688">
        <v>75</v>
      </c>
      <c r="S33" s="70" t="s">
        <v>572</v>
      </c>
    </row>
    <row r="34" spans="1:27" ht="15.95" customHeight="1" x14ac:dyDescent="0.15">
      <c r="B34" s="55" t="s">
        <v>57</v>
      </c>
      <c r="C34" s="4" t="s">
        <v>4</v>
      </c>
      <c r="D34" s="130">
        <f>IF($J$19=1, O22,Q19)</f>
        <v>60</v>
      </c>
      <c r="E34" s="27" t="s">
        <v>572</v>
      </c>
      <c r="F34" s="691">
        <v>50</v>
      </c>
      <c r="G34" s="447" t="s">
        <v>572</v>
      </c>
      <c r="K34" s="94"/>
      <c r="N34" s="55" t="s">
        <v>240</v>
      </c>
      <c r="O34" s="7">
        <f>O30/O33</f>
        <v>19870.579852681814</v>
      </c>
      <c r="P34" s="27" t="s">
        <v>574</v>
      </c>
      <c r="Q34" s="55" t="s">
        <v>240</v>
      </c>
      <c r="R34" s="688">
        <f>R30/R33</f>
        <v>36376.866666666669</v>
      </c>
      <c r="S34" s="70" t="s">
        <v>574</v>
      </c>
    </row>
    <row r="35" spans="1:27" ht="15.95" customHeight="1" thickBot="1" x14ac:dyDescent="0.2">
      <c r="B35" s="55" t="s">
        <v>244</v>
      </c>
      <c r="C35" s="4" t="s">
        <v>4</v>
      </c>
      <c r="D35" s="130">
        <f>IF($J$19=1, O23,Q19)</f>
        <v>120</v>
      </c>
      <c r="E35" s="27" t="s">
        <v>572</v>
      </c>
      <c r="F35" s="135" t="s">
        <v>65</v>
      </c>
      <c r="G35" s="447" t="s">
        <v>572</v>
      </c>
      <c r="K35" s="94"/>
      <c r="N35" s="71" t="s">
        <v>395</v>
      </c>
      <c r="O35" s="127">
        <f>(2*O26*O25*(O22-O26)^2*(O23-O25)^2)/((O22*O26)+(O23*O25)-O26^2-O25^2)</f>
        <v>1064553.0909090908</v>
      </c>
      <c r="P35" s="128" t="s">
        <v>574</v>
      </c>
      <c r="Q35" s="71" t="s">
        <v>350</v>
      </c>
      <c r="R35" s="127">
        <f>(2*R26*R25*(R22-R26)^2*(R23-R25)^2)/((R22*R26)+(R23*R25)-R26^2-R25^2)</f>
        <v>1064553.0909090908</v>
      </c>
      <c r="S35" s="72" t="s">
        <v>575</v>
      </c>
    </row>
    <row r="36" spans="1:27" ht="15.95" customHeight="1" x14ac:dyDescent="0.15">
      <c r="B36" s="55" t="s">
        <v>623</v>
      </c>
      <c r="C36" s="4" t="s">
        <v>4</v>
      </c>
      <c r="D36" s="130">
        <f>IF($J$19=1, O24,Q19)</f>
        <v>30</v>
      </c>
      <c r="E36" s="27" t="s">
        <v>572</v>
      </c>
      <c r="F36" s="135" t="s">
        <v>65</v>
      </c>
      <c r="G36" s="447" t="s">
        <v>572</v>
      </c>
      <c r="H36" s="34"/>
      <c r="K36" s="94"/>
    </row>
    <row r="37" spans="1:27" ht="15.95" customHeight="1" x14ac:dyDescent="0.15">
      <c r="B37" s="55" t="s">
        <v>118</v>
      </c>
      <c r="C37" s="4" t="s">
        <v>4</v>
      </c>
      <c r="D37" s="130">
        <f>IF($J$19=1, O25,Q19)</f>
        <v>2</v>
      </c>
      <c r="E37" s="27" t="s">
        <v>572</v>
      </c>
      <c r="F37" s="691">
        <v>2</v>
      </c>
      <c r="G37" s="447" t="s">
        <v>572</v>
      </c>
      <c r="H37" s="34"/>
      <c r="K37" s="94"/>
      <c r="N37" s="8" t="s">
        <v>250</v>
      </c>
    </row>
    <row r="38" spans="1:27" ht="15.95" customHeight="1" thickBot="1" x14ac:dyDescent="0.2">
      <c r="B38" s="55" t="s">
        <v>570</v>
      </c>
      <c r="C38" s="4" t="s">
        <v>4</v>
      </c>
      <c r="D38" s="130">
        <f>IF($J$19=1, O26,Q19)</f>
        <v>2</v>
      </c>
      <c r="E38" s="27" t="s">
        <v>572</v>
      </c>
      <c r="F38" s="136">
        <f>F37</f>
        <v>2</v>
      </c>
      <c r="G38" s="447" t="s">
        <v>572</v>
      </c>
      <c r="K38" s="94"/>
      <c r="L38" s="65"/>
      <c r="M38" s="65"/>
      <c r="N38" s="8" t="s">
        <v>564</v>
      </c>
      <c r="S38" s="53"/>
      <c r="T38" s="54"/>
    </row>
    <row r="39" spans="1:27" ht="15.95" customHeight="1" x14ac:dyDescent="0.15">
      <c r="B39" s="55" t="s">
        <v>237</v>
      </c>
      <c r="C39" s="4" t="s">
        <v>4</v>
      </c>
      <c r="D39" s="130">
        <f>IF($J$19=1, O27,Q19)</f>
        <v>2</v>
      </c>
      <c r="E39" s="27" t="s">
        <v>572</v>
      </c>
      <c r="F39" s="135" t="s">
        <v>65</v>
      </c>
      <c r="G39" s="447" t="s">
        <v>572</v>
      </c>
      <c r="K39" s="70"/>
      <c r="L39" s="65"/>
      <c r="M39" s="65"/>
      <c r="N39" s="68" t="s">
        <v>238</v>
      </c>
      <c r="O39" s="126">
        <f t="shared" ref="O39:O44" si="0">IF($J$19=1, O30,R30)</f>
        <v>1671313.4310645724</v>
      </c>
      <c r="P39" s="69" t="s">
        <v>573</v>
      </c>
      <c r="Q39" s="56" t="s">
        <v>396</v>
      </c>
      <c r="R39" s="126">
        <f>IF($J$19=1, O29,R22-R26*2)</f>
        <v>56</v>
      </c>
      <c r="S39" s="69" t="s">
        <v>572</v>
      </c>
      <c r="T39" s="28"/>
      <c r="U39" s="28"/>
    </row>
    <row r="40" spans="1:27" ht="15.95" customHeight="1" x14ac:dyDescent="0.15">
      <c r="B40" s="55" t="s">
        <v>407</v>
      </c>
      <c r="C40" s="4" t="s">
        <v>4</v>
      </c>
      <c r="D40" s="142">
        <f t="shared" ref="D40:D45" si="1">O39</f>
        <v>1671313.4310645724</v>
      </c>
      <c r="E40" s="27" t="s">
        <v>573</v>
      </c>
      <c r="F40" s="144">
        <f>(F34*F33^3-(F34-2*F37)*(F33-2*F38)^3)/12</f>
        <v>775178.66666666663</v>
      </c>
      <c r="G40" s="447" t="s">
        <v>573</v>
      </c>
      <c r="H40" s="416" t="s">
        <v>590</v>
      </c>
      <c r="I40" s="4" t="s">
        <v>4</v>
      </c>
      <c r="J40" s="142">
        <f>D40+F40*3</f>
        <v>3996849.4310645722</v>
      </c>
      <c r="K40" s="70" t="s">
        <v>573</v>
      </c>
      <c r="L40" s="65"/>
      <c r="M40" s="65"/>
      <c r="N40" s="55" t="s">
        <v>239</v>
      </c>
      <c r="O40" s="7">
        <f t="shared" si="0"/>
        <v>462398.66666666663</v>
      </c>
      <c r="P40" s="27" t="s">
        <v>573</v>
      </c>
      <c r="Q40" s="57" t="s">
        <v>397</v>
      </c>
      <c r="R40" s="7">
        <f>IF($J$19=1, O23-2*O25,R23-R25*2)</f>
        <v>116</v>
      </c>
      <c r="S40" s="70" t="s">
        <v>572</v>
      </c>
      <c r="U40" s="28"/>
    </row>
    <row r="41" spans="1:27" ht="15.95" customHeight="1" x14ac:dyDescent="0.15">
      <c r="B41" s="55" t="s">
        <v>408</v>
      </c>
      <c r="C41" s="4" t="s">
        <v>4</v>
      </c>
      <c r="D41" s="142">
        <f t="shared" si="1"/>
        <v>462398.66666666663</v>
      </c>
      <c r="E41" s="27" t="s">
        <v>573</v>
      </c>
      <c r="F41" s="144">
        <f>(F33*F34^3-(F33-2*F38)*(F34-2*F37)^3)/12</f>
        <v>262978.66666666669</v>
      </c>
      <c r="G41" s="447" t="s">
        <v>573</v>
      </c>
      <c r="H41" s="416" t="s">
        <v>591</v>
      </c>
      <c r="I41" s="4" t="s">
        <v>4</v>
      </c>
      <c r="J41" s="142">
        <f>D41+F41*3</f>
        <v>1251334.6666666665</v>
      </c>
      <c r="K41" s="70" t="s">
        <v>573</v>
      </c>
      <c r="L41" s="65"/>
      <c r="M41" s="65"/>
      <c r="N41" s="55" t="s">
        <v>1092</v>
      </c>
      <c r="O41" s="7">
        <f t="shared" si="0"/>
        <v>30</v>
      </c>
      <c r="P41" s="27" t="s">
        <v>562</v>
      </c>
      <c r="Q41" s="57" t="s">
        <v>398</v>
      </c>
      <c r="R41" s="7">
        <f>IF($J$19=1, O25,R25)</f>
        <v>2</v>
      </c>
      <c r="S41" s="70" t="s">
        <v>572</v>
      </c>
      <c r="T41" s="74"/>
      <c r="U41" s="28"/>
    </row>
    <row r="42" spans="1:27" ht="15.95" customHeight="1" x14ac:dyDescent="0.15">
      <c r="B42" s="55" t="s">
        <v>1092</v>
      </c>
      <c r="C42" s="4" t="s">
        <v>4</v>
      </c>
      <c r="D42" s="148">
        <f t="shared" si="1"/>
        <v>30</v>
      </c>
      <c r="E42" s="27" t="s">
        <v>562</v>
      </c>
      <c r="F42" s="153">
        <f>F34/2</f>
        <v>25</v>
      </c>
      <c r="G42" s="447" t="s">
        <v>562</v>
      </c>
      <c r="K42" s="94"/>
      <c r="L42" s="65"/>
      <c r="M42" s="65"/>
      <c r="N42" s="55" t="s">
        <v>1093</v>
      </c>
      <c r="O42" s="7">
        <f t="shared" si="0"/>
        <v>84.109947643979055</v>
      </c>
      <c r="P42" s="27" t="s">
        <v>562</v>
      </c>
      <c r="Q42" s="57" t="s">
        <v>399</v>
      </c>
      <c r="R42" s="133">
        <f>IF($J$19=1, O26,R26)</f>
        <v>2</v>
      </c>
      <c r="S42" s="70" t="s">
        <v>572</v>
      </c>
      <c r="T42" s="74"/>
      <c r="U42" s="28"/>
    </row>
    <row r="43" spans="1:27" ht="15.95" customHeight="1" x14ac:dyDescent="0.15">
      <c r="B43" s="55" t="s">
        <v>1093</v>
      </c>
      <c r="C43" s="4" t="s">
        <v>4</v>
      </c>
      <c r="D43" s="148">
        <f t="shared" si="1"/>
        <v>84.109947643979055</v>
      </c>
      <c r="E43" s="27" t="s">
        <v>562</v>
      </c>
      <c r="F43" s="153">
        <f>F33/2</f>
        <v>50</v>
      </c>
      <c r="G43" s="447" t="s">
        <v>562</v>
      </c>
      <c r="H43" s="416" t="s">
        <v>455</v>
      </c>
      <c r="I43" s="4" t="s">
        <v>9</v>
      </c>
      <c r="J43" s="92">
        <f>D40/J40</f>
        <v>0.41815771644402761</v>
      </c>
      <c r="K43" s="94"/>
      <c r="L43" s="65"/>
      <c r="M43" s="65"/>
      <c r="N43" s="55" t="s">
        <v>240</v>
      </c>
      <c r="O43" s="7">
        <f t="shared" si="0"/>
        <v>19870.579852681814</v>
      </c>
      <c r="P43" s="27" t="s">
        <v>574</v>
      </c>
      <c r="Q43" s="75"/>
      <c r="R43" s="65"/>
      <c r="S43" s="76"/>
      <c r="T43" s="74"/>
      <c r="U43" s="28"/>
    </row>
    <row r="44" spans="1:27" ht="15.95" customHeight="1" thickBot="1" x14ac:dyDescent="0.2">
      <c r="B44" s="55" t="s">
        <v>406</v>
      </c>
      <c r="C44" s="4" t="s">
        <v>4</v>
      </c>
      <c r="D44" s="142">
        <f t="shared" si="1"/>
        <v>19870.579852681814</v>
      </c>
      <c r="E44" s="27" t="s">
        <v>574</v>
      </c>
      <c r="F44" s="145">
        <f>F40/F43</f>
        <v>15503.573333333332</v>
      </c>
      <c r="G44" s="141" t="s">
        <v>574</v>
      </c>
      <c r="H44" s="446" t="s">
        <v>456</v>
      </c>
      <c r="I44" s="17" t="s">
        <v>9</v>
      </c>
      <c r="J44" s="692">
        <f>1-J43</f>
        <v>0.58184228355597245</v>
      </c>
      <c r="K44" s="124"/>
      <c r="L44" s="65"/>
      <c r="M44" s="65"/>
      <c r="N44" s="71" t="s">
        <v>395</v>
      </c>
      <c r="O44" s="127">
        <f t="shared" si="0"/>
        <v>1064553.0909090908</v>
      </c>
      <c r="P44" s="128" t="s">
        <v>574</v>
      </c>
      <c r="Q44" s="78"/>
      <c r="R44" s="77"/>
      <c r="S44" s="79"/>
      <c r="T44" s="74"/>
      <c r="U44" s="28"/>
    </row>
    <row r="45" spans="1:27" s="22" customFormat="1" ht="15.95" customHeight="1" thickBot="1" x14ac:dyDescent="0.2">
      <c r="A45" s="8"/>
      <c r="B45" s="71" t="s">
        <v>395</v>
      </c>
      <c r="C45" s="17" t="s">
        <v>4</v>
      </c>
      <c r="D45" s="143">
        <f t="shared" si="1"/>
        <v>1064553.0909090908</v>
      </c>
      <c r="E45" s="72" t="s">
        <v>574</v>
      </c>
      <c r="F45" s="459"/>
      <c r="G45" s="460"/>
      <c r="H45" s="460"/>
      <c r="I45" s="460"/>
      <c r="J45" s="460"/>
      <c r="K45" s="460"/>
      <c r="L45" s="65"/>
      <c r="M45" s="65"/>
      <c r="N45" s="8"/>
      <c r="O45" s="8"/>
      <c r="P45" s="8"/>
      <c r="Q45" s="8"/>
      <c r="R45" s="8"/>
      <c r="S45" s="8"/>
      <c r="T45" s="8"/>
      <c r="U45" s="8"/>
      <c r="W45" s="8"/>
      <c r="Y45" s="8"/>
      <c r="AA45" s="8"/>
    </row>
    <row r="46" spans="1:27" s="22" customFormat="1" ht="15.95" customHeight="1" x14ac:dyDescent="0.15">
      <c r="A46" s="8"/>
      <c r="B46" s="796" t="s">
        <v>1217</v>
      </c>
      <c r="C46" s="796"/>
      <c r="D46" s="796"/>
      <c r="E46" s="796"/>
      <c r="F46" s="796"/>
      <c r="G46" s="796"/>
      <c r="H46" s="796"/>
      <c r="I46" s="796"/>
      <c r="J46" s="796"/>
      <c r="K46" s="796"/>
      <c r="L46" s="65"/>
      <c r="M46" s="65"/>
      <c r="N46" s="8"/>
      <c r="O46" s="8"/>
      <c r="P46" s="8"/>
      <c r="Q46" s="8"/>
      <c r="R46" s="8"/>
      <c r="S46" s="8"/>
      <c r="T46" s="8"/>
      <c r="U46" s="8"/>
      <c r="W46" s="8"/>
      <c r="Y46" s="8"/>
      <c r="AA46" s="8"/>
    </row>
    <row r="47" spans="1:27" s="2" customFormat="1" ht="15.95" hidden="1" customHeight="1" x14ac:dyDescent="0.15">
      <c r="A47" s="112"/>
      <c r="B47" s="112" t="s">
        <v>432</v>
      </c>
    </row>
    <row r="48" spans="1:27" s="2" customFormat="1" ht="15.95" hidden="1" customHeight="1" x14ac:dyDescent="0.15">
      <c r="M48" s="416"/>
      <c r="N48" s="4"/>
      <c r="O48" s="445"/>
      <c r="P48" s="797"/>
    </row>
    <row r="49" spans="1:16" s="2" customFormat="1" ht="15.95" hidden="1" customHeight="1" x14ac:dyDescent="0.15">
      <c r="B49" s="113"/>
      <c r="M49" s="416"/>
      <c r="N49" s="4"/>
      <c r="O49" s="445"/>
      <c r="P49" s="798"/>
    </row>
    <row r="50" spans="1:16" s="2" customFormat="1" ht="15.95" hidden="1" customHeight="1" x14ac:dyDescent="0.15">
      <c r="A50" s="114"/>
    </row>
    <row r="51" spans="1:16" s="2" customFormat="1" ht="15.95" hidden="1" customHeight="1" x14ac:dyDescent="0.15">
      <c r="A51" s="114"/>
    </row>
    <row r="52" spans="1:16" s="2" customFormat="1" ht="15.95" hidden="1" customHeight="1" x14ac:dyDescent="0.15">
      <c r="A52" s="114"/>
    </row>
    <row r="53" spans="1:16" s="2" customFormat="1" ht="15.95" hidden="1" customHeight="1" x14ac:dyDescent="0.15">
      <c r="A53" s="114"/>
    </row>
    <row r="54" spans="1:16" s="2" customFormat="1" ht="15.95" hidden="1" customHeight="1" x14ac:dyDescent="0.15">
      <c r="A54" s="114"/>
      <c r="G54" s="20"/>
    </row>
    <row r="55" spans="1:16" s="2" customFormat="1" ht="15.95" hidden="1" customHeight="1" x14ac:dyDescent="0.15">
      <c r="A55" s="114"/>
      <c r="G55" s="82"/>
    </row>
    <row r="56" spans="1:16" s="2" customFormat="1" ht="15.95" hidden="1" customHeight="1" x14ac:dyDescent="0.15">
      <c r="A56" s="114"/>
      <c r="G56" s="20"/>
    </row>
    <row r="57" spans="1:16" s="2" customFormat="1" ht="15.95" hidden="1" customHeight="1" x14ac:dyDescent="0.15">
      <c r="A57" s="114"/>
      <c r="G57" s="20"/>
    </row>
    <row r="58" spans="1:16" s="2" customFormat="1" ht="15.95" hidden="1" customHeight="1" x14ac:dyDescent="0.15">
      <c r="A58" s="114"/>
      <c r="G58" s="20"/>
      <c r="I58" s="114"/>
    </row>
    <row r="59" spans="1:16" s="2" customFormat="1" ht="15.95" hidden="1" customHeight="1" x14ac:dyDescent="0.15">
      <c r="B59" s="8" t="s">
        <v>135</v>
      </c>
      <c r="G59" s="20"/>
    </row>
    <row r="60" spans="1:16" s="2" customFormat="1" ht="15.95" hidden="1" customHeight="1" x14ac:dyDescent="0.15">
      <c r="G60" s="62"/>
    </row>
    <row r="61" spans="1:16" s="2" customFormat="1" ht="15.95" hidden="1" customHeight="1" x14ac:dyDescent="0.15">
      <c r="B61" s="20" t="s">
        <v>129</v>
      </c>
      <c r="C61" s="4" t="s">
        <v>4</v>
      </c>
      <c r="D61" s="20" t="s">
        <v>130</v>
      </c>
      <c r="E61" s="4" t="s">
        <v>4</v>
      </c>
      <c r="F61" s="20" t="s">
        <v>436</v>
      </c>
      <c r="G61" s="4" t="s">
        <v>9</v>
      </c>
      <c r="H61" s="20" t="s">
        <v>146</v>
      </c>
      <c r="I61" s="20"/>
    </row>
    <row r="62" spans="1:16" s="2" customFormat="1" ht="15.95" hidden="1" customHeight="1" x14ac:dyDescent="0.15">
      <c r="B62" s="20" t="s">
        <v>433</v>
      </c>
      <c r="C62" s="4" t="s">
        <v>4</v>
      </c>
      <c r="D62" s="20" t="s">
        <v>437</v>
      </c>
      <c r="E62" s="4" t="s">
        <v>4</v>
      </c>
      <c r="F62" s="20" t="s">
        <v>436</v>
      </c>
      <c r="G62" s="4" t="s">
        <v>9</v>
      </c>
      <c r="H62" s="20" t="s">
        <v>434</v>
      </c>
      <c r="I62" s="20"/>
    </row>
    <row r="63" spans="1:16" s="2" customFormat="1" ht="15.95" hidden="1" customHeight="1" x14ac:dyDescent="0.15">
      <c r="B63" s="20" t="s">
        <v>109</v>
      </c>
      <c r="C63" s="4" t="s">
        <v>4</v>
      </c>
      <c r="D63" s="20" t="s">
        <v>435</v>
      </c>
      <c r="E63" s="20"/>
      <c r="G63" s="4" t="s">
        <v>9</v>
      </c>
      <c r="H63" s="20" t="s">
        <v>147</v>
      </c>
      <c r="I63" s="20"/>
    </row>
    <row r="64" spans="1:16" s="2" customFormat="1" ht="15.95" hidden="1" customHeight="1" x14ac:dyDescent="0.15">
      <c r="B64" s="62" t="s">
        <v>165</v>
      </c>
      <c r="C64" s="4" t="s">
        <v>4</v>
      </c>
      <c r="D64" s="20" t="s">
        <v>438</v>
      </c>
      <c r="E64" s="20"/>
      <c r="G64" s="4" t="s">
        <v>9</v>
      </c>
      <c r="H64" s="20" t="s">
        <v>148</v>
      </c>
      <c r="I64" s="20"/>
    </row>
    <row r="65" spans="1:16" s="2" customFormat="1" ht="15.95" hidden="1" customHeight="1" x14ac:dyDescent="0.15">
      <c r="H65" s="4"/>
      <c r="I65" s="20"/>
    </row>
    <row r="66" spans="1:16" s="2" customFormat="1" ht="15.95" hidden="1" customHeight="1" x14ac:dyDescent="0.15"/>
    <row r="67" spans="1:16" s="2" customFormat="1" ht="15.95" hidden="1" customHeight="1" x14ac:dyDescent="0.15">
      <c r="A67" s="114"/>
      <c r="B67" s="8" t="s">
        <v>136</v>
      </c>
    </row>
    <row r="68" spans="1:16" s="2" customFormat="1" ht="15.95" hidden="1" customHeight="1" x14ac:dyDescent="0.15"/>
    <row r="69" spans="1:16" s="2" customFormat="1" ht="15.95" hidden="1" customHeight="1" x14ac:dyDescent="0.15">
      <c r="B69" s="119" t="s">
        <v>2</v>
      </c>
      <c r="C69" s="11" t="s">
        <v>4</v>
      </c>
      <c r="D69" s="142">
        <f>D9</f>
        <v>5000</v>
      </c>
      <c r="E69" s="2" t="s">
        <v>603</v>
      </c>
      <c r="G69" s="4" t="s">
        <v>9</v>
      </c>
      <c r="H69" s="20" t="s">
        <v>452</v>
      </c>
      <c r="J69" s="20"/>
      <c r="K69" s="20"/>
    </row>
    <row r="70" spans="1:16" s="2" customFormat="1" ht="15.95" hidden="1" customHeight="1" x14ac:dyDescent="0.15">
      <c r="B70" s="120" t="s">
        <v>3</v>
      </c>
      <c r="C70" s="11" t="s">
        <v>4</v>
      </c>
      <c r="D70" s="142">
        <f>(D7+D8)/2</f>
        <v>1350</v>
      </c>
      <c r="E70" s="2" t="s">
        <v>603</v>
      </c>
      <c r="G70" s="4" t="s">
        <v>9</v>
      </c>
      <c r="H70" s="20" t="s">
        <v>439</v>
      </c>
      <c r="J70" s="4"/>
      <c r="K70" s="20"/>
    </row>
    <row r="71" spans="1:16" s="2" customFormat="1" ht="15.95" hidden="1" customHeight="1" x14ac:dyDescent="0.15">
      <c r="B71" s="120" t="s">
        <v>11</v>
      </c>
      <c r="C71" s="11" t="s">
        <v>4</v>
      </c>
      <c r="D71" s="8">
        <f>ABS(D5*D70/10^3)</f>
        <v>0</v>
      </c>
      <c r="E71" s="8" t="s">
        <v>616</v>
      </c>
      <c r="F71" s="113"/>
      <c r="G71" s="4" t="s">
        <v>9</v>
      </c>
      <c r="H71" s="20" t="s">
        <v>430</v>
      </c>
      <c r="J71" s="4"/>
      <c r="K71" s="20"/>
    </row>
    <row r="72" spans="1:16" s="2" customFormat="1" ht="15.95" hidden="1" customHeight="1" x14ac:dyDescent="0.15">
      <c r="B72" s="120" t="s">
        <v>5</v>
      </c>
      <c r="C72" s="11" t="s">
        <v>4</v>
      </c>
      <c r="D72" s="142">
        <f>D6</f>
        <v>69637.021649999995</v>
      </c>
      <c r="E72" s="27" t="s">
        <v>561</v>
      </c>
      <c r="G72" s="4" t="s">
        <v>9</v>
      </c>
      <c r="H72" s="20" t="s">
        <v>140</v>
      </c>
      <c r="J72" s="4"/>
      <c r="K72" s="20"/>
    </row>
    <row r="73" spans="1:16" s="2" customFormat="1" ht="15.95" hidden="1" customHeight="1" x14ac:dyDescent="0.15">
      <c r="B73" s="6" t="s">
        <v>453</v>
      </c>
      <c r="C73" s="11" t="s">
        <v>4</v>
      </c>
      <c r="D73" s="142">
        <f>J40</f>
        <v>3996849.4310645722</v>
      </c>
      <c r="E73" s="2" t="s">
        <v>598</v>
      </c>
      <c r="G73" s="4" t="s">
        <v>9</v>
      </c>
      <c r="H73" s="20" t="s">
        <v>454</v>
      </c>
      <c r="J73" s="4"/>
      <c r="K73" s="20"/>
    </row>
    <row r="74" spans="1:16" s="2" customFormat="1" ht="15.95" hidden="1" customHeight="1" x14ac:dyDescent="0.15">
      <c r="J74" s="4"/>
      <c r="K74" s="20"/>
    </row>
    <row r="75" spans="1:16" s="2" customFormat="1" ht="15.95" hidden="1" customHeight="1" x14ac:dyDescent="0.15">
      <c r="A75" s="9"/>
      <c r="B75" s="8" t="s">
        <v>149</v>
      </c>
      <c r="J75" s="4"/>
      <c r="K75" s="20"/>
    </row>
    <row r="76" spans="1:16" s="2" customFormat="1" ht="15.95" hidden="1" customHeight="1" x14ac:dyDescent="0.15">
      <c r="J76" s="4"/>
      <c r="K76" s="20"/>
      <c r="L76" s="116"/>
      <c r="M76" s="114"/>
    </row>
    <row r="77" spans="1:16" s="2" customFormat="1" ht="15.95" hidden="1" customHeight="1" x14ac:dyDescent="0.15">
      <c r="A77" s="2" t="s">
        <v>1</v>
      </c>
      <c r="B77" s="20" t="s">
        <v>129</v>
      </c>
      <c r="C77" s="11" t="s">
        <v>4</v>
      </c>
      <c r="D77" s="20" t="s">
        <v>436</v>
      </c>
      <c r="G77" s="20"/>
      <c r="K77" s="20"/>
    </row>
    <row r="78" spans="1:16" s="2" customFormat="1" ht="15.95" hidden="1" customHeight="1" x14ac:dyDescent="0.15">
      <c r="B78" s="113"/>
      <c r="C78" s="11" t="s">
        <v>4</v>
      </c>
      <c r="D78" s="147">
        <f>D71*D69/2</f>
        <v>0</v>
      </c>
      <c r="E78" s="8" t="s">
        <v>599</v>
      </c>
      <c r="G78" s="20"/>
      <c r="K78" s="20"/>
    </row>
    <row r="79" spans="1:16" s="2" customFormat="1" ht="15.95" hidden="1" customHeight="1" x14ac:dyDescent="0.15">
      <c r="B79" s="114"/>
      <c r="C79" s="117"/>
      <c r="D79" s="115"/>
      <c r="G79" s="20"/>
      <c r="K79" s="20"/>
      <c r="O79" s="147"/>
      <c r="P79" s="27"/>
    </row>
    <row r="80" spans="1:16" s="2" customFormat="1" ht="15.95" hidden="1" customHeight="1" x14ac:dyDescent="0.15">
      <c r="B80" s="20" t="s">
        <v>433</v>
      </c>
      <c r="C80" s="11" t="s">
        <v>4</v>
      </c>
      <c r="D80" s="20" t="s">
        <v>436</v>
      </c>
      <c r="G80" s="62"/>
      <c r="K80" s="20"/>
      <c r="O80" s="413"/>
      <c r="P80" s="797"/>
    </row>
    <row r="81" spans="1:26" s="2" customFormat="1" ht="15.95" hidden="1" customHeight="1" x14ac:dyDescent="0.15">
      <c r="B81" s="118"/>
      <c r="C81" s="11" t="s">
        <v>4</v>
      </c>
      <c r="D81" s="147">
        <f>D71*D69/2</f>
        <v>0</v>
      </c>
      <c r="E81" s="8" t="s">
        <v>599</v>
      </c>
      <c r="K81" s="20"/>
      <c r="O81" s="413"/>
      <c r="P81" s="798"/>
    </row>
    <row r="82" spans="1:26" s="2" customFormat="1" ht="15.95" hidden="1" customHeight="1" x14ac:dyDescent="0.15">
      <c r="B82" s="118"/>
      <c r="C82" s="117"/>
      <c r="D82" s="14"/>
      <c r="K82" s="20"/>
    </row>
    <row r="83" spans="1:26" s="2" customFormat="1" ht="15.95" hidden="1" customHeight="1" x14ac:dyDescent="0.15">
      <c r="B83" s="20" t="s">
        <v>109</v>
      </c>
      <c r="C83" s="11" t="s">
        <v>4</v>
      </c>
      <c r="D83" s="20" t="s">
        <v>435</v>
      </c>
      <c r="F83" s="20"/>
      <c r="K83" s="20"/>
      <c r="O83" s="147"/>
      <c r="P83" s="27"/>
    </row>
    <row r="84" spans="1:26" s="2" customFormat="1" ht="15.95" hidden="1" customHeight="1" x14ac:dyDescent="0.15">
      <c r="C84" s="11" t="s">
        <v>4</v>
      </c>
      <c r="D84" s="147">
        <f>D71*D69^2/8</f>
        <v>0</v>
      </c>
      <c r="E84" s="27" t="s">
        <v>601</v>
      </c>
      <c r="F84" s="20"/>
      <c r="K84" s="20"/>
      <c r="O84" s="414"/>
    </row>
    <row r="85" spans="1:26" s="2" customFormat="1" ht="15.95" hidden="1" customHeight="1" x14ac:dyDescent="0.15">
      <c r="B85" s="118"/>
      <c r="C85" s="117"/>
      <c r="D85" s="14"/>
      <c r="K85" s="20"/>
    </row>
    <row r="86" spans="1:26" s="2" customFormat="1" ht="15.95" hidden="1" customHeight="1" x14ac:dyDescent="0.15">
      <c r="B86" s="62" t="s">
        <v>165</v>
      </c>
      <c r="C86" s="11" t="s">
        <v>4</v>
      </c>
      <c r="D86" s="20" t="s">
        <v>438</v>
      </c>
      <c r="K86" s="20"/>
      <c r="O86" s="412"/>
      <c r="P86" s="27"/>
    </row>
    <row r="87" spans="1:26" s="2" customFormat="1" ht="15.95" hidden="1" customHeight="1" x14ac:dyDescent="0.15">
      <c r="B87" s="118"/>
      <c r="C87" s="11" t="s">
        <v>4</v>
      </c>
      <c r="D87" s="63">
        <f>(5*D71*D69^4)/(384*D72*D73)</f>
        <v>0</v>
      </c>
      <c r="E87" s="8" t="s">
        <v>603</v>
      </c>
      <c r="K87" s="20"/>
      <c r="O87" s="414"/>
    </row>
    <row r="88" spans="1:26" ht="15.95" hidden="1" customHeight="1" x14ac:dyDescent="0.15">
      <c r="B88" s="110"/>
      <c r="C88" s="4"/>
      <c r="D88" s="110"/>
      <c r="H88" s="27"/>
      <c r="K88" s="20"/>
      <c r="V88" s="8"/>
      <c r="X88" s="8"/>
      <c r="Z88" s="8"/>
    </row>
    <row r="89" spans="1:26" ht="15.95" hidden="1" customHeight="1" x14ac:dyDescent="0.15">
      <c r="C89" s="4"/>
      <c r="D89" s="14"/>
      <c r="E89" s="27"/>
      <c r="K89" s="20"/>
      <c r="V89" s="8"/>
      <c r="X89" s="8"/>
      <c r="Z89" s="8"/>
    </row>
    <row r="90" spans="1:26" ht="15.95" hidden="1" customHeight="1" x14ac:dyDescent="0.15">
      <c r="B90" s="111"/>
      <c r="C90" s="4"/>
      <c r="D90" s="110"/>
      <c r="H90" s="27"/>
      <c r="J90" s="27"/>
      <c r="K90" s="20"/>
      <c r="V90" s="8"/>
      <c r="X90" s="8"/>
      <c r="Z90" s="8"/>
    </row>
    <row r="91" spans="1:26" ht="15.95" hidden="1" customHeight="1" x14ac:dyDescent="0.15">
      <c r="B91" s="52"/>
      <c r="C91" s="4"/>
      <c r="D91" s="18"/>
      <c r="E91" s="27"/>
      <c r="K91" s="20"/>
      <c r="V91" s="8"/>
      <c r="X91" s="8"/>
      <c r="Z91" s="8"/>
    </row>
    <row r="92" spans="1:26" ht="15.95" hidden="1" customHeight="1" x14ac:dyDescent="0.15">
      <c r="B92" s="52"/>
      <c r="C92" s="4"/>
      <c r="K92" s="20"/>
      <c r="V92" s="8"/>
      <c r="X92" s="8"/>
      <c r="Z92" s="8"/>
    </row>
    <row r="93" spans="1:26" ht="15.95" hidden="1" customHeight="1" x14ac:dyDescent="0.15">
      <c r="A93" s="27"/>
      <c r="B93" s="61" t="s">
        <v>189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N93" s="29" t="s">
        <v>401</v>
      </c>
      <c r="O93" s="444">
        <f>G6</f>
        <v>5</v>
      </c>
      <c r="P93" s="30"/>
    </row>
    <row r="94" spans="1:26" s="31" customFormat="1" ht="15.95" hidden="1" customHeight="1" x14ac:dyDescent="0.15">
      <c r="J94" s="32"/>
      <c r="K94" s="21"/>
      <c r="L94" s="32"/>
      <c r="M94" s="32"/>
      <c r="N94" s="21"/>
      <c r="O94" s="21"/>
      <c r="P94" s="21"/>
      <c r="V94" s="36"/>
      <c r="X94" s="36"/>
      <c r="Z94" s="36"/>
    </row>
    <row r="95" spans="1:26" s="31" customFormat="1" ht="15.95" hidden="1" customHeight="1" x14ac:dyDescent="0.15">
      <c r="A95" s="8"/>
      <c r="B95" s="33" t="s">
        <v>335</v>
      </c>
      <c r="C95" s="33"/>
      <c r="G95" s="34" t="s">
        <v>336</v>
      </c>
      <c r="H95" s="85"/>
      <c r="I95" s="27"/>
      <c r="J95" s="86"/>
      <c r="K95" s="35"/>
      <c r="L95" s="8"/>
      <c r="M95" s="8"/>
      <c r="N95" s="36" t="s">
        <v>337</v>
      </c>
      <c r="O95" s="443">
        <v>14</v>
      </c>
      <c r="P95" s="8"/>
      <c r="S95" s="8"/>
      <c r="V95" s="36"/>
      <c r="X95" s="36"/>
      <c r="Z95" s="36"/>
    </row>
    <row r="96" spans="1:26" s="31" customFormat="1" ht="15.95" hidden="1" customHeight="1" x14ac:dyDescent="0.15">
      <c r="A96" s="8"/>
      <c r="B96" s="33"/>
      <c r="C96" s="8"/>
      <c r="D96" s="8"/>
      <c r="E96" s="8"/>
      <c r="G96" s="21"/>
      <c r="I96" s="8"/>
      <c r="J96" s="33"/>
      <c r="K96" s="22"/>
      <c r="L96" s="8"/>
      <c r="M96" s="22" t="s">
        <v>338</v>
      </c>
      <c r="N96" s="87">
        <v>5</v>
      </c>
      <c r="O96" s="87">
        <v>6</v>
      </c>
      <c r="Q96" s="790" t="s">
        <v>339</v>
      </c>
      <c r="R96" s="791"/>
      <c r="S96" s="792" t="s">
        <v>374</v>
      </c>
      <c r="T96" s="793"/>
      <c r="U96" s="794"/>
      <c r="V96" s="36"/>
      <c r="X96" s="36"/>
      <c r="Z96" s="36"/>
    </row>
    <row r="97" spans="1:26" s="31" customFormat="1" ht="15.95" hidden="1" customHeight="1" x14ac:dyDescent="0.15">
      <c r="A97" s="8"/>
      <c r="B97" s="20" t="s">
        <v>390</v>
      </c>
      <c r="C97" s="4" t="s">
        <v>4</v>
      </c>
      <c r="D97" s="151">
        <f>D10</f>
        <v>2600</v>
      </c>
      <c r="E97" s="13" t="s">
        <v>583</v>
      </c>
      <c r="F97" s="8"/>
      <c r="G97" s="20" t="s">
        <v>340</v>
      </c>
      <c r="H97" s="4" t="s">
        <v>341</v>
      </c>
      <c r="I97" s="130">
        <f>2*D97*D99/(SQRT(D98*D100))</f>
        <v>147.27259356576931</v>
      </c>
      <c r="K97" s="22"/>
      <c r="L97" s="8"/>
      <c r="M97" s="8"/>
      <c r="N97" s="37">
        <v>0</v>
      </c>
      <c r="O97" s="37">
        <v>0</v>
      </c>
      <c r="P97" s="21" t="s">
        <v>342</v>
      </c>
      <c r="Q97" s="38" t="s">
        <v>343</v>
      </c>
      <c r="R97" s="39" t="s">
        <v>344</v>
      </c>
      <c r="S97" s="39">
        <v>1</v>
      </c>
      <c r="T97" s="40">
        <f>IF(O93=5, N97, O97)</f>
        <v>0</v>
      </c>
      <c r="U97" s="39" t="str">
        <f>P97</f>
        <v>S  ≤  S₁</v>
      </c>
      <c r="V97" s="36"/>
      <c r="X97" s="36"/>
      <c r="Z97" s="36"/>
    </row>
    <row r="98" spans="1:26" s="31" customFormat="1" ht="15.95" hidden="1" customHeight="1" x14ac:dyDescent="0.15">
      <c r="A98" s="8"/>
      <c r="B98" s="20" t="s">
        <v>345</v>
      </c>
      <c r="C98" s="4" t="s">
        <v>4</v>
      </c>
      <c r="D98" s="151">
        <f>D41</f>
        <v>462398.66666666663</v>
      </c>
      <c r="E98" s="13" t="s">
        <v>579</v>
      </c>
      <c r="F98" s="8"/>
      <c r="G98" s="41" t="s">
        <v>346</v>
      </c>
      <c r="H98" s="22"/>
      <c r="I98" s="22"/>
      <c r="J98" s="36"/>
      <c r="K98" s="22"/>
      <c r="L98" s="8"/>
      <c r="M98" s="8"/>
      <c r="N98" s="42">
        <v>0</v>
      </c>
      <c r="O98" s="42">
        <v>0</v>
      </c>
      <c r="P98" s="21" t="s">
        <v>347</v>
      </c>
      <c r="Q98" s="43">
        <f>IF(O93=5, N98,O98)</f>
        <v>0</v>
      </c>
      <c r="R98" s="44">
        <f>IF(O93=5,N100,O100)</f>
        <v>3823</v>
      </c>
      <c r="S98" s="46">
        <v>2</v>
      </c>
      <c r="T98" s="45">
        <f>IF(O93=5, N99, O99)</f>
        <v>9.6505085589175899</v>
      </c>
      <c r="U98" s="46" t="str">
        <f>P99</f>
        <v>S₁&lt;  S  &lt; S₂</v>
      </c>
      <c r="V98" s="36"/>
      <c r="X98" s="36"/>
      <c r="Z98" s="36"/>
    </row>
    <row r="99" spans="1:26" s="31" customFormat="1" ht="15.95" hidden="1" customHeight="1" x14ac:dyDescent="0.15">
      <c r="B99" s="20" t="s">
        <v>179</v>
      </c>
      <c r="C99" s="4" t="s">
        <v>4</v>
      </c>
      <c r="D99" s="151">
        <f>D44</f>
        <v>19870.579852681814</v>
      </c>
      <c r="E99" s="13" t="s">
        <v>575</v>
      </c>
      <c r="G99" s="20" t="str">
        <f>U101</f>
        <v>S₁&lt;  S  &lt; S₂</v>
      </c>
      <c r="J99" s="8"/>
      <c r="K99" s="22"/>
      <c r="L99" s="8"/>
      <c r="M99" s="8"/>
      <c r="N99" s="42">
        <f>10.5-0.07*SQRT(I97)</f>
        <v>9.6505085589175899</v>
      </c>
      <c r="O99" s="42">
        <f>16.7-0.14*SQRT(I97)</f>
        <v>15.001017117835179</v>
      </c>
      <c r="P99" s="21" t="s">
        <v>348</v>
      </c>
      <c r="Q99" s="88" t="s">
        <v>349</v>
      </c>
      <c r="S99" s="44">
        <v>3</v>
      </c>
      <c r="T99" s="47">
        <f>IF(O93=5, N101, O101)</f>
        <v>160.24026893680735</v>
      </c>
      <c r="U99" s="44" t="str">
        <f>P101</f>
        <v>S  ≥  S₂</v>
      </c>
      <c r="V99" s="36"/>
      <c r="X99" s="36"/>
      <c r="Z99" s="36"/>
    </row>
    <row r="100" spans="1:26" s="31" customFormat="1" ht="15.95" hidden="1" customHeight="1" thickBot="1" x14ac:dyDescent="0.2">
      <c r="A100" s="8"/>
      <c r="B100" s="20" t="s">
        <v>350</v>
      </c>
      <c r="C100" s="4" t="s">
        <v>4</v>
      </c>
      <c r="D100" s="151">
        <f>D45</f>
        <v>1064553.0909090908</v>
      </c>
      <c r="E100" s="13" t="s">
        <v>579</v>
      </c>
      <c r="F100" s="22"/>
      <c r="H100" s="22"/>
      <c r="I100" s="8"/>
      <c r="J100" s="8"/>
      <c r="K100" s="8"/>
      <c r="L100" s="8"/>
      <c r="M100" s="8"/>
      <c r="N100" s="42">
        <v>3823</v>
      </c>
      <c r="O100" s="42">
        <v>2400</v>
      </c>
      <c r="P100" s="21" t="s">
        <v>352</v>
      </c>
      <c r="Q100" s="39" t="s">
        <v>353</v>
      </c>
      <c r="V100" s="36"/>
      <c r="X100" s="36"/>
      <c r="Z100" s="36"/>
    </row>
    <row r="101" spans="1:26" s="31" customFormat="1" ht="15.95" hidden="1" customHeight="1" thickBot="1" x14ac:dyDescent="0.2">
      <c r="A101" s="8"/>
      <c r="B101" s="20" t="s">
        <v>354</v>
      </c>
      <c r="C101" s="4" t="s">
        <v>4</v>
      </c>
      <c r="D101" s="8">
        <f>T101</f>
        <v>9.6505085589175899</v>
      </c>
      <c r="E101" s="13" t="s">
        <v>232</v>
      </c>
      <c r="F101" s="22"/>
      <c r="K101" s="8"/>
      <c r="L101" s="8"/>
      <c r="M101" s="8"/>
      <c r="N101" s="48">
        <f>23599/I97</f>
        <v>160.24026893680735</v>
      </c>
      <c r="O101" s="48">
        <f>23599/I97</f>
        <v>160.24026893680735</v>
      </c>
      <c r="P101" s="21" t="s">
        <v>355</v>
      </c>
      <c r="Q101" s="44">
        <f>I97</f>
        <v>147.27259356576931</v>
      </c>
      <c r="S101" s="89">
        <f>IF(Q101&lt;=Q98,1,IF(AND(Q101&gt;Q98,Q101&lt;R98),2,3))</f>
        <v>2</v>
      </c>
      <c r="T101" s="49">
        <f>VLOOKUP(S101, S97:T99, 2, FALSE)</f>
        <v>9.6505085589175899</v>
      </c>
      <c r="U101" s="50" t="str">
        <f>VLOOKUP(S101,S97:U99, 3, FALSE)</f>
        <v>S₁&lt;  S  &lt; S₂</v>
      </c>
      <c r="V101" s="36"/>
      <c r="X101" s="36"/>
      <c r="Z101" s="36"/>
    </row>
    <row r="102" spans="1:26" s="31" customFormat="1" ht="15.95" hidden="1" customHeight="1" x14ac:dyDescent="0.15">
      <c r="A102" s="8"/>
      <c r="C102" s="4" t="s">
        <v>4</v>
      </c>
      <c r="D102" s="13">
        <f>D101*6.894757</f>
        <v>66.537911440156961</v>
      </c>
      <c r="E102" s="13" t="s">
        <v>561</v>
      </c>
      <c r="F102" s="22"/>
      <c r="G102" s="22"/>
      <c r="H102" s="22"/>
      <c r="I102" s="8"/>
      <c r="J102" s="8"/>
      <c r="K102" s="8"/>
      <c r="L102" s="8"/>
      <c r="M102" s="8"/>
      <c r="V102" s="36"/>
      <c r="X102" s="36"/>
      <c r="Z102" s="36"/>
    </row>
    <row r="103" spans="1:26" s="31" customFormat="1" ht="15.95" hidden="1" customHeight="1" x14ac:dyDescent="0.15">
      <c r="A103" s="8"/>
      <c r="C103" s="4"/>
      <c r="D103" s="13"/>
      <c r="E103" s="13"/>
      <c r="F103" s="22"/>
      <c r="G103" s="22"/>
      <c r="H103" s="22"/>
      <c r="I103" s="8"/>
      <c r="J103" s="8"/>
      <c r="K103" s="8"/>
      <c r="L103" s="8"/>
      <c r="M103" s="8"/>
      <c r="V103" s="36"/>
      <c r="X103" s="36"/>
      <c r="Z103" s="36"/>
    </row>
    <row r="104" spans="1:26" s="31" customFormat="1" ht="15.95" hidden="1" customHeight="1" x14ac:dyDescent="0.15">
      <c r="A104" s="8"/>
      <c r="B104" s="33" t="s">
        <v>356</v>
      </c>
      <c r="C104" s="33"/>
      <c r="D104" s="131"/>
      <c r="E104" s="131"/>
      <c r="G104" s="34" t="s">
        <v>357</v>
      </c>
      <c r="H104" s="85"/>
      <c r="I104" s="22"/>
      <c r="J104" s="86"/>
      <c r="K104" s="8"/>
      <c r="L104" s="8"/>
      <c r="M104" s="8"/>
      <c r="N104" s="36" t="s">
        <v>337</v>
      </c>
      <c r="O104" s="443">
        <v>16</v>
      </c>
      <c r="P104" s="8"/>
      <c r="S104" s="8"/>
      <c r="V104" s="36"/>
      <c r="X104" s="36"/>
      <c r="Z104" s="36"/>
    </row>
    <row r="105" spans="1:26" s="31" customFormat="1" ht="15.95" hidden="1" customHeight="1" x14ac:dyDescent="0.15">
      <c r="A105" s="8"/>
      <c r="B105" s="33"/>
      <c r="C105" s="33"/>
      <c r="D105" s="131"/>
      <c r="E105" s="131"/>
      <c r="F105" s="33"/>
      <c r="G105" s="33"/>
      <c r="H105" s="33"/>
      <c r="I105" s="8"/>
      <c r="J105" s="33"/>
      <c r="K105" s="8"/>
      <c r="L105" s="8"/>
      <c r="M105" s="22" t="s">
        <v>338</v>
      </c>
      <c r="N105" s="87">
        <v>5</v>
      </c>
      <c r="O105" s="87">
        <v>6</v>
      </c>
      <c r="Q105" s="790" t="s">
        <v>339</v>
      </c>
      <c r="R105" s="791"/>
      <c r="S105" s="792" t="s">
        <v>374</v>
      </c>
      <c r="T105" s="793"/>
      <c r="U105" s="794"/>
      <c r="V105" s="36"/>
      <c r="X105" s="36"/>
      <c r="Z105" s="36"/>
    </row>
    <row r="106" spans="1:26" s="31" customFormat="1" ht="15.95" hidden="1" customHeight="1" x14ac:dyDescent="0.15">
      <c r="A106" s="8"/>
      <c r="B106" s="20" t="s">
        <v>121</v>
      </c>
      <c r="C106" s="4" t="s">
        <v>4</v>
      </c>
      <c r="D106" s="7">
        <f>R39</f>
        <v>56</v>
      </c>
      <c r="E106" s="13" t="s">
        <v>583</v>
      </c>
      <c r="F106" s="8"/>
      <c r="G106" s="20" t="str">
        <f>U110</f>
        <v>S₁&lt;  S  &lt; S₂</v>
      </c>
      <c r="K106" s="8"/>
      <c r="L106" s="8"/>
      <c r="M106" s="8"/>
      <c r="N106" s="37">
        <v>9.6999999999999993</v>
      </c>
      <c r="O106" s="37">
        <v>15.2</v>
      </c>
      <c r="P106" s="21" t="s">
        <v>342</v>
      </c>
      <c r="Q106" s="38" t="s">
        <v>343</v>
      </c>
      <c r="R106" s="39" t="s">
        <v>344</v>
      </c>
      <c r="S106" s="39">
        <v>1</v>
      </c>
      <c r="T106" s="40">
        <f>IF(O93=5, N106, O106)</f>
        <v>9.6999999999999993</v>
      </c>
      <c r="U106" s="39" t="str">
        <f>P106</f>
        <v>S  ≤  S₁</v>
      </c>
      <c r="V106" s="36"/>
      <c r="X106" s="36"/>
      <c r="Z106" s="36"/>
    </row>
    <row r="107" spans="1:26" s="31" customFormat="1" ht="15.95" hidden="1" customHeight="1" x14ac:dyDescent="0.15">
      <c r="A107" s="8"/>
      <c r="B107" s="20" t="s">
        <v>379</v>
      </c>
      <c r="C107" s="4" t="s">
        <v>4</v>
      </c>
      <c r="D107" s="7">
        <f>R41</f>
        <v>2</v>
      </c>
      <c r="E107" s="13" t="s">
        <v>583</v>
      </c>
      <c r="G107" s="8"/>
      <c r="H107" s="8"/>
      <c r="I107" s="8"/>
      <c r="J107" s="8"/>
      <c r="K107" s="8"/>
      <c r="L107" s="8"/>
      <c r="M107" s="8"/>
      <c r="N107" s="42">
        <v>25.6</v>
      </c>
      <c r="O107" s="42">
        <v>22.8</v>
      </c>
      <c r="P107" s="21" t="s">
        <v>347</v>
      </c>
      <c r="Q107" s="43">
        <f>IF(O93=5, N107,O107)</f>
        <v>25.6</v>
      </c>
      <c r="R107" s="44">
        <f>IF(O93=5,N109,O109)</f>
        <v>50</v>
      </c>
      <c r="S107" s="46">
        <v>2</v>
      </c>
      <c r="T107" s="45">
        <f>IF(O93=5, N108, O108)</f>
        <v>9.4760000000000009</v>
      </c>
      <c r="U107" s="46" t="str">
        <f>P108</f>
        <v>S₁&lt;  S  &lt; S₂</v>
      </c>
      <c r="V107" s="36"/>
      <c r="X107" s="36"/>
      <c r="Z107" s="36"/>
    </row>
    <row r="108" spans="1:26" s="31" customFormat="1" ht="15.95" hidden="1" customHeight="1" x14ac:dyDescent="0.15">
      <c r="A108" s="8"/>
      <c r="B108" s="20" t="s">
        <v>402</v>
      </c>
      <c r="C108" s="4" t="s">
        <v>4</v>
      </c>
      <c r="D108" s="7">
        <f>D106/D107</f>
        <v>28</v>
      </c>
      <c r="E108" s="13"/>
      <c r="F108" s="8"/>
      <c r="H108" s="8"/>
      <c r="I108" s="8"/>
      <c r="J108" s="8"/>
      <c r="K108" s="8"/>
      <c r="L108" s="8"/>
      <c r="M108" s="8"/>
      <c r="N108" s="42">
        <f>11.8-0.083*D108</f>
        <v>9.4760000000000009</v>
      </c>
      <c r="O108" s="42">
        <f>19-0.17*(D108)</f>
        <v>14.239999999999998</v>
      </c>
      <c r="P108" s="21" t="s">
        <v>348</v>
      </c>
      <c r="Q108" s="88" t="s">
        <v>349</v>
      </c>
      <c r="S108" s="44">
        <v>3</v>
      </c>
      <c r="T108" s="47">
        <f>IF(O93=5, N110, O110)</f>
        <v>13.642857142857142</v>
      </c>
      <c r="U108" s="44" t="str">
        <f>P110</f>
        <v>S  ≥  S₂</v>
      </c>
      <c r="V108" s="36"/>
      <c r="X108" s="36"/>
      <c r="Z108" s="36"/>
    </row>
    <row r="109" spans="1:26" s="31" customFormat="1" ht="15.95" hidden="1" customHeight="1" thickBot="1" x14ac:dyDescent="0.2">
      <c r="A109" s="8"/>
      <c r="B109" s="20" t="s">
        <v>365</v>
      </c>
      <c r="C109" s="4" t="s">
        <v>4</v>
      </c>
      <c r="D109" s="8">
        <f>T110</f>
        <v>9.4760000000000009</v>
      </c>
      <c r="E109" s="13" t="s">
        <v>232</v>
      </c>
      <c r="F109" s="8"/>
      <c r="G109" s="8"/>
      <c r="H109" s="8"/>
      <c r="I109" s="8"/>
      <c r="J109" s="8"/>
      <c r="K109" s="8"/>
      <c r="L109" s="8"/>
      <c r="M109" s="8"/>
      <c r="N109" s="42">
        <v>50</v>
      </c>
      <c r="O109" s="42">
        <v>39</v>
      </c>
      <c r="P109" s="21" t="s">
        <v>352</v>
      </c>
      <c r="Q109" s="39" t="s">
        <v>353</v>
      </c>
      <c r="V109" s="36"/>
      <c r="X109" s="36"/>
      <c r="Z109" s="36"/>
    </row>
    <row r="110" spans="1:26" s="31" customFormat="1" ht="15.95" hidden="1" customHeight="1" thickBot="1" x14ac:dyDescent="0.2">
      <c r="A110" s="8"/>
      <c r="B110" s="27"/>
      <c r="C110" s="4" t="s">
        <v>4</v>
      </c>
      <c r="D110" s="13">
        <f>D109*6.894757</f>
        <v>65.334717332000011</v>
      </c>
      <c r="E110" s="13" t="s">
        <v>561</v>
      </c>
      <c r="F110" s="8"/>
      <c r="G110" s="8"/>
      <c r="H110" s="8"/>
      <c r="I110" s="8"/>
      <c r="J110" s="8"/>
      <c r="K110" s="8"/>
      <c r="L110" s="8"/>
      <c r="M110" s="8"/>
      <c r="N110" s="48">
        <f>382/D108</f>
        <v>13.642857142857142</v>
      </c>
      <c r="O110" s="48">
        <f>484/D108</f>
        <v>17.285714285714285</v>
      </c>
      <c r="P110" s="21" t="s">
        <v>355</v>
      </c>
      <c r="Q110" s="44">
        <f>D108</f>
        <v>28</v>
      </c>
      <c r="S110" s="89">
        <f>IF(Q110&lt;=Q107,1,IF(AND(Q110&gt;Q107,Q110&lt;R107),2,3))</f>
        <v>2</v>
      </c>
      <c r="T110" s="49">
        <f>VLOOKUP(S110, S106:T108, 2, FALSE)</f>
        <v>9.4760000000000009</v>
      </c>
      <c r="U110" s="50" t="str">
        <f>VLOOKUP(S110,S106:U108, 3, FALSE)</f>
        <v>S₁&lt;  S  &lt; S₂</v>
      </c>
      <c r="V110" s="36"/>
      <c r="X110" s="36"/>
      <c r="Z110" s="36"/>
    </row>
    <row r="111" spans="1:26" s="31" customFormat="1" ht="15.95" hidden="1" customHeight="1" x14ac:dyDescent="0.15">
      <c r="A111" s="8"/>
      <c r="C111" s="4"/>
      <c r="D111" s="13"/>
      <c r="E111" s="13"/>
      <c r="F111" s="22"/>
      <c r="G111" s="22"/>
      <c r="H111" s="22"/>
      <c r="I111" s="8"/>
      <c r="J111" s="8"/>
      <c r="K111" s="8"/>
      <c r="L111" s="8"/>
      <c r="M111" s="8"/>
      <c r="V111" s="36"/>
      <c r="X111" s="36"/>
      <c r="Z111" s="36"/>
    </row>
    <row r="112" spans="1:26" s="31" customFormat="1" ht="15.95" hidden="1" customHeight="1" x14ac:dyDescent="0.15">
      <c r="A112" s="8"/>
      <c r="B112" s="33" t="s">
        <v>356</v>
      </c>
      <c r="C112" s="33"/>
      <c r="D112" s="131"/>
      <c r="E112" s="131"/>
      <c r="F112" s="33"/>
      <c r="G112" s="34" t="s">
        <v>370</v>
      </c>
      <c r="H112" s="85"/>
      <c r="I112" s="8"/>
      <c r="J112" s="33"/>
      <c r="K112" s="8"/>
      <c r="L112" s="8"/>
      <c r="M112" s="8"/>
      <c r="N112" s="36" t="s">
        <v>337</v>
      </c>
      <c r="O112" s="443">
        <v>18</v>
      </c>
      <c r="P112" s="8"/>
      <c r="S112" s="8"/>
      <c r="V112" s="36"/>
      <c r="X112" s="36"/>
      <c r="Z112" s="36"/>
    </row>
    <row r="113" spans="1:26" s="31" customFormat="1" ht="15.95" hidden="1" customHeight="1" x14ac:dyDescent="0.15">
      <c r="A113" s="8"/>
      <c r="B113" s="33"/>
      <c r="C113" s="33"/>
      <c r="D113" s="131"/>
      <c r="E113" s="131"/>
      <c r="F113" s="33"/>
      <c r="G113" s="33"/>
      <c r="H113" s="33"/>
      <c r="I113" s="8"/>
      <c r="J113" s="33"/>
      <c r="K113" s="8"/>
      <c r="L113" s="8"/>
      <c r="M113" s="22" t="s">
        <v>338</v>
      </c>
      <c r="N113" s="87">
        <v>5</v>
      </c>
      <c r="O113" s="87">
        <v>6</v>
      </c>
      <c r="Q113" s="790" t="s">
        <v>339</v>
      </c>
      <c r="R113" s="791"/>
      <c r="S113" s="792" t="s">
        <v>374</v>
      </c>
      <c r="T113" s="793"/>
      <c r="U113" s="794"/>
      <c r="V113" s="36"/>
      <c r="X113" s="36"/>
      <c r="Z113" s="36"/>
    </row>
    <row r="114" spans="1:26" s="31" customFormat="1" ht="15.95" hidden="1" customHeight="1" x14ac:dyDescent="0.15">
      <c r="A114" s="8"/>
      <c r="B114" s="20" t="s">
        <v>120</v>
      </c>
      <c r="C114" s="4" t="s">
        <v>4</v>
      </c>
      <c r="D114" s="7">
        <f>R40</f>
        <v>116</v>
      </c>
      <c r="E114" s="13" t="s">
        <v>583</v>
      </c>
      <c r="F114" s="8"/>
      <c r="G114" s="20" t="str">
        <f>U118</f>
        <v>S  ≤  S₁</v>
      </c>
      <c r="K114" s="8"/>
      <c r="L114" s="8"/>
      <c r="M114" s="8"/>
      <c r="N114" s="37">
        <v>12.6</v>
      </c>
      <c r="O114" s="37">
        <v>19.7</v>
      </c>
      <c r="P114" s="21" t="s">
        <v>342</v>
      </c>
      <c r="Q114" s="38" t="s">
        <v>343</v>
      </c>
      <c r="R114" s="39" t="s">
        <v>344</v>
      </c>
      <c r="S114" s="39">
        <v>1</v>
      </c>
      <c r="T114" s="40">
        <f>IF(O93=5, N114, O114)</f>
        <v>12.6</v>
      </c>
      <c r="U114" s="39" t="str">
        <f>P114</f>
        <v>S  ≤  S₁</v>
      </c>
      <c r="V114" s="36"/>
      <c r="X114" s="36"/>
      <c r="Z114" s="36"/>
    </row>
    <row r="115" spans="1:26" s="31" customFormat="1" ht="15.95" hidden="1" customHeight="1" x14ac:dyDescent="0.15">
      <c r="A115" s="8"/>
      <c r="B115" s="20" t="s">
        <v>379</v>
      </c>
      <c r="C115" s="4" t="s">
        <v>4</v>
      </c>
      <c r="D115" s="7">
        <f>R42</f>
        <v>2</v>
      </c>
      <c r="E115" s="13" t="s">
        <v>583</v>
      </c>
      <c r="F115" s="8"/>
      <c r="H115" s="8"/>
      <c r="I115" s="8"/>
      <c r="J115" s="8"/>
      <c r="K115" s="8"/>
      <c r="L115" s="8"/>
      <c r="M115" s="8"/>
      <c r="N115" s="42">
        <v>61</v>
      </c>
      <c r="O115" s="42">
        <v>54.9</v>
      </c>
      <c r="P115" s="21" t="s">
        <v>347</v>
      </c>
      <c r="Q115" s="43">
        <f>IF(O93=5, N115,O115)</f>
        <v>61</v>
      </c>
      <c r="R115" s="44">
        <f>IF(O93=5,N117,O117)</f>
        <v>115</v>
      </c>
      <c r="S115" s="46">
        <v>2</v>
      </c>
      <c r="T115" s="45">
        <f>IF(O93=5, N116, O116)</f>
        <v>12.808000000000002</v>
      </c>
      <c r="U115" s="46" t="str">
        <f>P116</f>
        <v>S₁&lt;  S  &lt; S₂</v>
      </c>
      <c r="V115" s="36"/>
      <c r="X115" s="36"/>
      <c r="Z115" s="36"/>
    </row>
    <row r="116" spans="1:26" s="31" customFormat="1" ht="15.95" hidden="1" customHeight="1" x14ac:dyDescent="0.15">
      <c r="A116" s="8"/>
      <c r="B116" s="20" t="s">
        <v>403</v>
      </c>
      <c r="C116" s="4" t="s">
        <v>4</v>
      </c>
      <c r="D116" s="7">
        <f>D114/D115</f>
        <v>58</v>
      </c>
      <c r="E116" s="13"/>
      <c r="F116" s="8"/>
      <c r="H116" s="8"/>
      <c r="I116" s="8"/>
      <c r="J116" s="8"/>
      <c r="K116" s="8"/>
      <c r="L116" s="8"/>
      <c r="M116" s="8"/>
      <c r="N116" s="42">
        <f>17.1-0.074*D116</f>
        <v>12.808000000000002</v>
      </c>
      <c r="O116" s="42">
        <f>27.9-0.15*(D116)</f>
        <v>19.2</v>
      </c>
      <c r="P116" s="21" t="s">
        <v>348</v>
      </c>
      <c r="Q116" s="88" t="s">
        <v>349</v>
      </c>
      <c r="S116" s="44">
        <v>3</v>
      </c>
      <c r="T116" s="47">
        <f>IF(O93=5, N118, O118)</f>
        <v>17</v>
      </c>
      <c r="U116" s="44" t="str">
        <f>P118</f>
        <v>S  ≥  S₂</v>
      </c>
      <c r="V116" s="36"/>
      <c r="X116" s="36"/>
      <c r="Z116" s="36"/>
    </row>
    <row r="117" spans="1:26" s="31" customFormat="1" ht="15.95" hidden="1" customHeight="1" thickBot="1" x14ac:dyDescent="0.2">
      <c r="A117" s="8"/>
      <c r="B117" s="20" t="s">
        <v>381</v>
      </c>
      <c r="C117" s="4" t="s">
        <v>4</v>
      </c>
      <c r="D117" s="8">
        <f>T118</f>
        <v>12.6</v>
      </c>
      <c r="E117" s="13" t="s">
        <v>232</v>
      </c>
      <c r="F117" s="8"/>
      <c r="G117" s="8"/>
      <c r="H117" s="8"/>
      <c r="I117" s="8"/>
      <c r="J117" s="8"/>
      <c r="K117" s="8"/>
      <c r="L117" s="8"/>
      <c r="M117" s="8"/>
      <c r="N117" s="42">
        <v>115</v>
      </c>
      <c r="O117" s="42">
        <v>93</v>
      </c>
      <c r="P117" s="21" t="s">
        <v>352</v>
      </c>
      <c r="Q117" s="39" t="s">
        <v>353</v>
      </c>
      <c r="V117" s="36"/>
      <c r="X117" s="36"/>
      <c r="Z117" s="36"/>
    </row>
    <row r="118" spans="1:26" s="31" customFormat="1" ht="15.95" hidden="1" customHeight="1" thickBot="1" x14ac:dyDescent="0.2">
      <c r="A118" s="8"/>
      <c r="B118" s="22"/>
      <c r="C118" s="4" t="s">
        <v>4</v>
      </c>
      <c r="D118" s="13">
        <f>D117*6.894757</f>
        <v>86.873938199999998</v>
      </c>
      <c r="E118" s="13" t="s">
        <v>561</v>
      </c>
      <c r="F118" s="8"/>
      <c r="G118" s="8"/>
      <c r="H118" s="8"/>
      <c r="I118" s="8"/>
      <c r="J118" s="8"/>
      <c r="K118" s="8"/>
      <c r="L118" s="8"/>
      <c r="M118" s="8"/>
      <c r="N118" s="48">
        <f>986/D116</f>
        <v>17</v>
      </c>
      <c r="O118" s="48">
        <f>1298/D116</f>
        <v>22.379310344827587</v>
      </c>
      <c r="P118" s="21" t="s">
        <v>355</v>
      </c>
      <c r="Q118" s="44">
        <f>D116</f>
        <v>58</v>
      </c>
      <c r="S118" s="89">
        <f>IF(Q118&lt;=Q115,1,IF(AND(Q118&gt;Q115,Q118&lt;=R115),2,3))</f>
        <v>1</v>
      </c>
      <c r="T118" s="49">
        <f>VLOOKUP(S118, S114:T116, 2, FALSE)</f>
        <v>12.6</v>
      </c>
      <c r="U118" s="50" t="str">
        <f>VLOOKUP(S118,S114:U116, 3, FALSE)</f>
        <v>S  ≤  S₁</v>
      </c>
      <c r="V118" s="36"/>
      <c r="X118" s="36"/>
      <c r="Z118" s="36"/>
    </row>
    <row r="119" spans="1:26" s="31" customFormat="1" ht="15.95" hidden="1" customHeight="1" x14ac:dyDescent="0.15">
      <c r="A119" s="8"/>
      <c r="B119" s="8"/>
      <c r="C119" s="8"/>
      <c r="D119" s="13"/>
      <c r="E119" s="13"/>
      <c r="F119" s="8"/>
      <c r="G119" s="8"/>
      <c r="H119" s="8"/>
      <c r="I119" s="8"/>
      <c r="J119" s="8"/>
      <c r="K119" s="8"/>
      <c r="L119" s="8"/>
      <c r="M119" s="8"/>
      <c r="N119" s="21"/>
      <c r="V119" s="36"/>
      <c r="X119" s="36"/>
      <c r="Z119" s="36"/>
    </row>
    <row r="120" spans="1:26" s="31" customFormat="1" ht="15.95" hidden="1" customHeight="1" x14ac:dyDescent="0.15">
      <c r="A120" s="8"/>
      <c r="B120" s="19" t="s">
        <v>382</v>
      </c>
      <c r="C120" s="8"/>
      <c r="D120" s="13"/>
      <c r="E120" s="3" t="s">
        <v>383</v>
      </c>
      <c r="F120" s="8" t="s">
        <v>384</v>
      </c>
      <c r="G120" s="8"/>
      <c r="H120" s="8"/>
      <c r="I120" s="8"/>
      <c r="J120" s="8"/>
      <c r="K120" s="8"/>
      <c r="L120" s="8"/>
      <c r="M120" s="8"/>
      <c r="N120" s="21"/>
      <c r="V120" s="36"/>
      <c r="X120" s="36"/>
      <c r="Z120" s="36"/>
    </row>
    <row r="121" spans="1:26" s="31" customFormat="1" ht="15.95" hidden="1" customHeight="1" x14ac:dyDescent="0.15">
      <c r="A121" s="8"/>
      <c r="B121" s="19"/>
      <c r="C121" s="8"/>
      <c r="D121" s="13"/>
      <c r="E121" s="13"/>
      <c r="F121" s="8"/>
      <c r="G121" s="8"/>
      <c r="H121" s="8"/>
      <c r="I121" s="8"/>
      <c r="J121" s="8"/>
      <c r="K121" s="8"/>
      <c r="L121" s="8"/>
      <c r="M121" s="8"/>
      <c r="N121" s="21"/>
      <c r="V121" s="36"/>
      <c r="X121" s="36"/>
      <c r="Z121" s="36"/>
    </row>
    <row r="122" spans="1:26" s="31" customFormat="1" ht="15.95" hidden="1" customHeight="1" x14ac:dyDescent="0.15">
      <c r="A122" s="8"/>
      <c r="B122" s="20" t="s">
        <v>180</v>
      </c>
      <c r="C122" s="4" t="s">
        <v>4</v>
      </c>
      <c r="D122" s="783" t="s">
        <v>625</v>
      </c>
      <c r="E122" s="783"/>
      <c r="F122" s="8"/>
      <c r="G122" s="8"/>
      <c r="H122" s="8"/>
      <c r="I122" s="8"/>
      <c r="J122" s="8"/>
      <c r="K122" s="8"/>
      <c r="L122" s="8"/>
      <c r="M122" s="8"/>
      <c r="N122" s="21"/>
      <c r="V122" s="36"/>
      <c r="X122" s="36"/>
      <c r="Z122" s="36"/>
    </row>
    <row r="123" spans="1:26" s="31" customFormat="1" ht="15.95" hidden="1" customHeight="1" x14ac:dyDescent="0.15">
      <c r="A123" s="8"/>
      <c r="B123" s="22"/>
      <c r="C123" s="4" t="s">
        <v>4</v>
      </c>
      <c r="D123" s="7">
        <f>0.85*(D14*J43)/D44</f>
        <v>0</v>
      </c>
      <c r="E123" s="13" t="s">
        <v>561</v>
      </c>
      <c r="F123" s="8"/>
      <c r="G123" s="8"/>
      <c r="H123" s="8"/>
      <c r="I123" s="8"/>
      <c r="J123" s="8"/>
      <c r="K123" s="8"/>
      <c r="L123" s="8"/>
      <c r="M123" s="8"/>
      <c r="N123" s="21"/>
      <c r="O123" s="21"/>
      <c r="V123" s="36"/>
      <c r="X123" s="36"/>
      <c r="Z123" s="36"/>
    </row>
    <row r="124" spans="1:26" s="31" customFormat="1" ht="15.95" hidden="1" customHeight="1" x14ac:dyDescent="0.15">
      <c r="A124" s="8"/>
      <c r="B124" s="20" t="s">
        <v>184</v>
      </c>
      <c r="C124" s="4" t="s">
        <v>4</v>
      </c>
      <c r="D124" s="6" t="s">
        <v>387</v>
      </c>
      <c r="E124" s="132"/>
      <c r="F124" s="20"/>
      <c r="H124" s="8"/>
      <c r="I124" s="8"/>
      <c r="J124" s="8"/>
      <c r="K124" s="8"/>
      <c r="L124" s="8"/>
      <c r="M124" s="8"/>
      <c r="N124" s="21"/>
      <c r="O124" s="21"/>
      <c r="V124" s="36"/>
      <c r="X124" s="36"/>
      <c r="Z124" s="36"/>
    </row>
    <row r="125" spans="1:26" s="31" customFormat="1" ht="15.95" hidden="1" customHeight="1" x14ac:dyDescent="0.15">
      <c r="A125" s="8"/>
      <c r="B125" s="27"/>
      <c r="C125" s="4" t="s">
        <v>4</v>
      </c>
      <c r="D125" s="51">
        <f>MIN(D102,D110,D118)</f>
        <v>65.334717332000011</v>
      </c>
      <c r="E125" s="13" t="s">
        <v>561</v>
      </c>
      <c r="F125" s="8"/>
      <c r="G125" s="22"/>
      <c r="H125" s="27"/>
      <c r="I125" s="22"/>
      <c r="J125" s="8"/>
      <c r="K125" s="8"/>
      <c r="L125" s="8"/>
      <c r="M125" s="8"/>
      <c r="N125" s="21"/>
      <c r="O125" s="21"/>
      <c r="V125" s="36"/>
      <c r="X125" s="36"/>
      <c r="Z125" s="36"/>
    </row>
    <row r="126" spans="1:26" s="31" customFormat="1" ht="15.95" hidden="1" customHeight="1" x14ac:dyDescent="0.15">
      <c r="A126" s="8"/>
      <c r="C126" s="4"/>
      <c r="F126" s="8"/>
      <c r="G126" s="8"/>
      <c r="H126" s="8"/>
      <c r="I126" s="8"/>
      <c r="J126" s="8"/>
      <c r="K126" s="8"/>
      <c r="L126" s="8"/>
      <c r="M126" s="8"/>
      <c r="N126" s="21"/>
      <c r="O126" s="21"/>
      <c r="V126" s="36"/>
      <c r="X126" s="36"/>
      <c r="Z126" s="36"/>
    </row>
    <row r="127" spans="1:26" ht="15.95" hidden="1" customHeight="1" x14ac:dyDescent="0.15">
      <c r="N127" s="21"/>
      <c r="O127" s="21"/>
    </row>
    <row r="128" spans="1:26" ht="15.95" hidden="1" customHeight="1" x14ac:dyDescent="0.15">
      <c r="B128" s="19" t="s">
        <v>187</v>
      </c>
      <c r="N128" s="21"/>
      <c r="O128" s="21"/>
    </row>
    <row r="129" spans="1:26" ht="15.95" hidden="1" customHeight="1" x14ac:dyDescent="0.15">
      <c r="N129" s="21"/>
      <c r="O129" s="21"/>
    </row>
    <row r="130" spans="1:26" ht="15.95" hidden="1" customHeight="1" x14ac:dyDescent="0.15">
      <c r="B130" s="20" t="s">
        <v>404</v>
      </c>
      <c r="C130" s="4" t="s">
        <v>4</v>
      </c>
      <c r="D130" s="22">
        <f>D123/D125</f>
        <v>0</v>
      </c>
      <c r="E130" s="23" t="str">
        <f>IF(D130&gt;F130,"&gt;","&lt;")</f>
        <v>&lt;</v>
      </c>
      <c r="F130" s="3">
        <v>1</v>
      </c>
      <c r="G130" s="91" t="str">
        <f>IF(D130&lt;F130,"O.K.","N.G.")</f>
        <v>O.K.</v>
      </c>
      <c r="N130" s="21"/>
      <c r="O130" s="21"/>
    </row>
    <row r="131" spans="1:26" ht="15.95" hidden="1" customHeight="1" x14ac:dyDescent="0.15">
      <c r="B131" s="52"/>
      <c r="D131" s="27"/>
      <c r="N131" s="4"/>
    </row>
    <row r="132" spans="1:26" ht="15.95" hidden="1" customHeight="1" x14ac:dyDescent="0.15">
      <c r="A132" s="27"/>
      <c r="B132" s="27"/>
      <c r="C132" s="27"/>
      <c r="D132" s="27"/>
      <c r="E132" s="27"/>
      <c r="F132" s="33"/>
      <c r="G132" s="27"/>
      <c r="H132" s="27"/>
      <c r="I132" s="27"/>
      <c r="J132" s="27"/>
      <c r="K132" s="27"/>
      <c r="L132" s="27"/>
      <c r="M132" s="27"/>
      <c r="N132" s="4"/>
    </row>
    <row r="133" spans="1:26" ht="15.95" hidden="1" customHeight="1" x14ac:dyDescent="0.1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4"/>
    </row>
    <row r="134" spans="1:26" ht="15.95" hidden="1" customHeight="1" x14ac:dyDescent="0.1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4"/>
    </row>
    <row r="135" spans="1:26" ht="15.95" hidden="1" customHeight="1" x14ac:dyDescent="0.15">
      <c r="B135" s="33"/>
      <c r="D135" s="27"/>
    </row>
    <row r="136" spans="1:26" ht="15.95" hidden="1" customHeight="1" x14ac:dyDescent="0.15">
      <c r="B136" s="33"/>
      <c r="D136" s="27"/>
    </row>
    <row r="137" spans="1:26" ht="15.95" hidden="1" customHeight="1" x14ac:dyDescent="0.15">
      <c r="B137" s="33"/>
      <c r="D137" s="27"/>
    </row>
    <row r="138" spans="1:26" ht="15.95" hidden="1" customHeight="1" x14ac:dyDescent="0.15">
      <c r="B138" s="33"/>
      <c r="D138" s="27"/>
    </row>
    <row r="139" spans="1:26" ht="15.95" hidden="1" customHeight="1" x14ac:dyDescent="0.15">
      <c r="B139" s="61" t="s">
        <v>189</v>
      </c>
      <c r="V139" s="8"/>
      <c r="X139" s="8"/>
      <c r="Z139" s="8"/>
    </row>
    <row r="140" spans="1:26" ht="15.95" hidden="1" customHeight="1" x14ac:dyDescent="0.15">
      <c r="B140" s="33"/>
      <c r="D140" s="27"/>
      <c r="V140" s="8"/>
      <c r="X140" s="8"/>
      <c r="Z140" s="8"/>
    </row>
    <row r="141" spans="1:26" s="2" customFormat="1" ht="15.95" hidden="1" customHeight="1" x14ac:dyDescent="0.15">
      <c r="A141" s="3"/>
      <c r="B141" s="27" t="s">
        <v>457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21"/>
      <c r="O141" s="21"/>
      <c r="P141" s="30"/>
    </row>
    <row r="142" spans="1:26" ht="15.95" hidden="1" customHeight="1" x14ac:dyDescent="0.15">
      <c r="B142" s="61"/>
      <c r="D142" s="22"/>
      <c r="O142" s="102"/>
      <c r="Q142" s="102"/>
      <c r="S142" s="102"/>
      <c r="U142" s="102">
        <v>2.2999999999999998</v>
      </c>
      <c r="V142" s="8"/>
      <c r="X142" s="8"/>
      <c r="Z142" s="8"/>
    </row>
    <row r="143" spans="1:26" ht="15.95" hidden="1" customHeight="1" x14ac:dyDescent="0.15">
      <c r="B143" s="20" t="s">
        <v>458</v>
      </c>
      <c r="C143" s="4" t="s">
        <v>4</v>
      </c>
      <c r="D143" s="147">
        <f>(D14*J44)</f>
        <v>0</v>
      </c>
      <c r="E143" s="27" t="s">
        <v>563</v>
      </c>
      <c r="G143" s="4" t="s">
        <v>9</v>
      </c>
      <c r="H143" s="20" t="s">
        <v>182</v>
      </c>
      <c r="V143" s="8"/>
      <c r="X143" s="8"/>
      <c r="Z143" s="8"/>
    </row>
    <row r="144" spans="1:26" ht="15.95" hidden="1" customHeight="1" x14ac:dyDescent="0.15">
      <c r="B144" s="19"/>
      <c r="V144" s="8"/>
      <c r="X144" s="8"/>
      <c r="Z144" s="8"/>
    </row>
    <row r="145" spans="2:26" ht="15.95" hidden="1" customHeight="1" x14ac:dyDescent="0.15">
      <c r="B145" s="20" t="s">
        <v>179</v>
      </c>
      <c r="C145" s="4" t="s">
        <v>4</v>
      </c>
      <c r="D145" s="147">
        <f>F44</f>
        <v>15503.573333333332</v>
      </c>
      <c r="E145" s="8" t="s">
        <v>575</v>
      </c>
      <c r="G145" s="4" t="s">
        <v>9</v>
      </c>
      <c r="H145" s="20" t="s">
        <v>183</v>
      </c>
      <c r="V145" s="8"/>
      <c r="X145" s="8"/>
      <c r="Z145" s="8"/>
    </row>
    <row r="146" spans="2:26" ht="15.95" hidden="1" customHeight="1" x14ac:dyDescent="0.15">
      <c r="V146" s="8"/>
      <c r="X146" s="8"/>
      <c r="Z146" s="8"/>
    </row>
    <row r="147" spans="2:26" ht="15.95" hidden="1" customHeight="1" x14ac:dyDescent="0.15">
      <c r="C147" s="4"/>
      <c r="V147" s="8"/>
      <c r="X147" s="8"/>
      <c r="Z147" s="8"/>
    </row>
    <row r="148" spans="2:26" ht="15.95" hidden="1" customHeight="1" x14ac:dyDescent="0.15">
      <c r="B148" s="19" t="s">
        <v>177</v>
      </c>
      <c r="D148" s="12"/>
      <c r="V148" s="8"/>
      <c r="X148" s="8"/>
      <c r="Z148" s="8"/>
    </row>
    <row r="149" spans="2:26" ht="15.95" hidden="1" customHeight="1" x14ac:dyDescent="0.15">
      <c r="V149" s="8"/>
      <c r="X149" s="8"/>
      <c r="Z149" s="8"/>
    </row>
    <row r="150" spans="2:26" ht="15.95" hidden="1" customHeight="1" x14ac:dyDescent="0.15">
      <c r="B150" s="20" t="s">
        <v>459</v>
      </c>
      <c r="C150" s="4" t="s">
        <v>4</v>
      </c>
      <c r="D150" s="20" t="s">
        <v>625</v>
      </c>
      <c r="V150" s="8"/>
      <c r="X150" s="8"/>
      <c r="Z150" s="8"/>
    </row>
    <row r="151" spans="2:26" ht="15.95" hidden="1" customHeight="1" x14ac:dyDescent="0.15">
      <c r="C151" s="4" t="s">
        <v>4</v>
      </c>
      <c r="D151" s="13">
        <f>0.85*(D143/D145)</f>
        <v>0</v>
      </c>
      <c r="E151" s="13" t="s">
        <v>561</v>
      </c>
      <c r="V151" s="8"/>
      <c r="X151" s="8"/>
      <c r="Z151" s="8"/>
    </row>
    <row r="152" spans="2:26" ht="15.95" hidden="1" customHeight="1" x14ac:dyDescent="0.15">
      <c r="V152" s="8"/>
      <c r="X152" s="8"/>
      <c r="Z152" s="8"/>
    </row>
    <row r="153" spans="2:26" ht="15.95" hidden="1" customHeight="1" x14ac:dyDescent="0.15">
      <c r="V153" s="8"/>
      <c r="X153" s="8"/>
      <c r="Z153" s="8"/>
    </row>
    <row r="154" spans="2:26" ht="15.95" hidden="1" customHeight="1" x14ac:dyDescent="0.15">
      <c r="B154" s="19" t="s">
        <v>178</v>
      </c>
      <c r="V154" s="8"/>
      <c r="X154" s="8"/>
      <c r="Z154" s="8"/>
    </row>
    <row r="155" spans="2:26" ht="15.95" hidden="1" customHeight="1" x14ac:dyDescent="0.15">
      <c r="B155" s="19"/>
      <c r="G155" s="4"/>
      <c r="H155" s="20"/>
      <c r="V155" s="8"/>
      <c r="X155" s="8"/>
      <c r="Z155" s="8"/>
    </row>
    <row r="156" spans="2:26" ht="15.95" hidden="1" customHeight="1" x14ac:dyDescent="0.15">
      <c r="B156" s="20" t="s">
        <v>185</v>
      </c>
      <c r="C156" s="4" t="s">
        <v>4</v>
      </c>
      <c r="D156" s="13">
        <v>275</v>
      </c>
      <c r="E156" s="13" t="s">
        <v>561</v>
      </c>
      <c r="G156" s="4" t="s">
        <v>9</v>
      </c>
      <c r="H156" s="20" t="s">
        <v>842</v>
      </c>
      <c r="V156" s="8"/>
      <c r="X156" s="8"/>
      <c r="Z156" s="8"/>
    </row>
    <row r="157" spans="2:26" ht="15.95" hidden="1" customHeight="1" x14ac:dyDescent="0.15">
      <c r="B157" s="20" t="s">
        <v>365</v>
      </c>
      <c r="C157" s="4" t="s">
        <v>4</v>
      </c>
      <c r="D157" s="64" t="s">
        <v>843</v>
      </c>
      <c r="E157" s="20"/>
      <c r="V157" s="8"/>
      <c r="X157" s="8"/>
      <c r="Z157" s="8"/>
    </row>
    <row r="158" spans="2:26" ht="15.95" hidden="1" customHeight="1" x14ac:dyDescent="0.15">
      <c r="B158" s="22"/>
      <c r="C158" s="4" t="s">
        <v>4</v>
      </c>
      <c r="D158" s="13">
        <f>0.66*D156</f>
        <v>181.5</v>
      </c>
      <c r="E158" s="13" t="s">
        <v>561</v>
      </c>
      <c r="V158" s="8"/>
      <c r="X158" s="8"/>
      <c r="Z158" s="8"/>
    </row>
    <row r="159" spans="2:26" ht="15.95" hidden="1" customHeight="1" x14ac:dyDescent="0.15">
      <c r="V159" s="8"/>
      <c r="X159" s="8"/>
      <c r="Z159" s="8"/>
    </row>
    <row r="160" spans="2:26" ht="15.95" hidden="1" customHeight="1" x14ac:dyDescent="0.15">
      <c r="V160" s="8"/>
      <c r="X160" s="8"/>
      <c r="Z160" s="8"/>
    </row>
    <row r="161" spans="2:26" ht="15.95" hidden="1" customHeight="1" x14ac:dyDescent="0.15">
      <c r="B161" s="19" t="s">
        <v>187</v>
      </c>
      <c r="V161" s="8"/>
      <c r="X161" s="8"/>
      <c r="Z161" s="8"/>
    </row>
    <row r="162" spans="2:26" ht="15.95" hidden="1" customHeight="1" x14ac:dyDescent="0.15">
      <c r="B162" s="19"/>
      <c r="N162" s="4"/>
      <c r="V162" s="8"/>
      <c r="X162" s="8"/>
      <c r="Z162" s="8"/>
    </row>
    <row r="163" spans="2:26" ht="15.95" hidden="1" customHeight="1" x14ac:dyDescent="0.15">
      <c r="B163" s="20" t="s">
        <v>188</v>
      </c>
      <c r="C163" s="4" t="s">
        <v>4</v>
      </c>
      <c r="D163" s="22">
        <f>D151/D158</f>
        <v>0</v>
      </c>
      <c r="E163" s="23" t="str">
        <f>IF(D163&gt;F163,"&gt;","&lt;")</f>
        <v>&lt;</v>
      </c>
      <c r="F163" s="3">
        <v>1</v>
      </c>
      <c r="G163" s="91" t="str">
        <f>IF(D163&lt;F163,"O.K.","N.G.")</f>
        <v>O.K.</v>
      </c>
      <c r="V163" s="8"/>
      <c r="X163" s="8"/>
      <c r="Z163" s="8"/>
    </row>
    <row r="164" spans="2:26" ht="15.95" hidden="1" customHeight="1" x14ac:dyDescent="0.15">
      <c r="C164" s="103"/>
      <c r="D164" s="12"/>
      <c r="F164" s="12"/>
      <c r="V164" s="8"/>
      <c r="X164" s="8"/>
      <c r="Z164" s="8"/>
    </row>
    <row r="165" spans="2:26" ht="15.95" hidden="1" customHeight="1" x14ac:dyDescent="0.15">
      <c r="C165" s="103"/>
      <c r="D165" s="12"/>
      <c r="F165" s="12"/>
      <c r="V165" s="8"/>
      <c r="X165" s="8"/>
      <c r="Z165" s="8"/>
    </row>
    <row r="166" spans="2:26" ht="15.95" hidden="1" customHeight="1" x14ac:dyDescent="0.15">
      <c r="B166" s="24" t="s">
        <v>190</v>
      </c>
    </row>
    <row r="167" spans="2:26" ht="15.95" hidden="1" customHeight="1" x14ac:dyDescent="0.15"/>
    <row r="168" spans="2:26" ht="15.95" hidden="1" customHeight="1" x14ac:dyDescent="0.15">
      <c r="B168" s="19" t="s">
        <v>192</v>
      </c>
    </row>
    <row r="169" spans="2:26" ht="15.95" hidden="1" customHeight="1" x14ac:dyDescent="0.15">
      <c r="B169" s="19"/>
    </row>
    <row r="170" spans="2:26" ht="15.95" hidden="1" customHeight="1" x14ac:dyDescent="0.15">
      <c r="B170" s="62" t="s">
        <v>165</v>
      </c>
      <c r="C170" s="4" t="s">
        <v>4</v>
      </c>
      <c r="D170" s="8">
        <f>D16</f>
        <v>0</v>
      </c>
      <c r="E170" s="13" t="s">
        <v>583</v>
      </c>
    </row>
    <row r="171" spans="2:26" ht="15.95" hidden="1" customHeight="1" x14ac:dyDescent="0.15"/>
    <row r="172" spans="2:26" ht="15.95" hidden="1" customHeight="1" x14ac:dyDescent="0.15"/>
    <row r="173" spans="2:26" ht="15.95" hidden="1" customHeight="1" x14ac:dyDescent="0.15">
      <c r="B173" s="19" t="s">
        <v>191</v>
      </c>
      <c r="E173" s="26" t="s">
        <v>195</v>
      </c>
    </row>
    <row r="174" spans="2:26" ht="15.95" hidden="1" customHeight="1" x14ac:dyDescent="0.15">
      <c r="B174" s="19"/>
    </row>
    <row r="175" spans="2:26" ht="15.95" hidden="1" customHeight="1" x14ac:dyDescent="0.15">
      <c r="B175" s="62" t="s">
        <v>2</v>
      </c>
      <c r="C175" s="4" t="s">
        <v>4</v>
      </c>
      <c r="D175" s="142">
        <f>D9</f>
        <v>5000</v>
      </c>
      <c r="E175" s="8" t="str">
        <f>IF(D175&gt;4110,"mm      &gt;     4110 mm","mm     ≤     4110 mm")</f>
        <v>mm      &gt;     4110 mm</v>
      </c>
      <c r="M175" s="27" t="s">
        <v>196</v>
      </c>
      <c r="N175" s="25">
        <f>D175/240+6.35</f>
        <v>27.18333333333333</v>
      </c>
    </row>
    <row r="176" spans="2:26" ht="15.95" hidden="1" customHeight="1" x14ac:dyDescent="0.15">
      <c r="B176" s="62" t="s">
        <v>193</v>
      </c>
      <c r="C176" s="4" t="s">
        <v>4</v>
      </c>
      <c r="D176" s="152">
        <f>D175</f>
        <v>5000</v>
      </c>
      <c r="E176" s="19" t="str">
        <f>IF(D175&lt;4110,"mm      /     175","mm      /      240 + 6.35 mm ")</f>
        <v xml:space="preserve">mm      /      240 + 6.35 mm </v>
      </c>
      <c r="M176" s="27" t="s">
        <v>197</v>
      </c>
      <c r="N176" s="25">
        <f>D175/175</f>
        <v>28.571428571428573</v>
      </c>
    </row>
    <row r="177" spans="1:26" ht="15.95" hidden="1" customHeight="1" x14ac:dyDescent="0.15">
      <c r="B177" s="22"/>
      <c r="C177" s="4" t="s">
        <v>4</v>
      </c>
      <c r="D177" s="22">
        <f>IF(D175&gt;4110,N175,N176)</f>
        <v>27.18333333333333</v>
      </c>
      <c r="E177" s="8" t="s">
        <v>600</v>
      </c>
    </row>
    <row r="178" spans="1:26" ht="15.95" hidden="1" customHeight="1" x14ac:dyDescent="0.15"/>
    <row r="179" spans="1:26" ht="15.95" hidden="1" customHeight="1" x14ac:dyDescent="0.15"/>
    <row r="180" spans="1:26" ht="15.95" hidden="1" customHeight="1" x14ac:dyDescent="0.15">
      <c r="B180" s="19" t="s">
        <v>198</v>
      </c>
    </row>
    <row r="181" spans="1:26" s="4" customFormat="1" ht="15.95" hidden="1" customHeight="1" x14ac:dyDescent="0.15">
      <c r="A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O181" s="8"/>
      <c r="P181" s="8"/>
      <c r="Q181" s="8"/>
      <c r="R181" s="8"/>
      <c r="S181" s="8"/>
      <c r="T181" s="8"/>
      <c r="U181" s="8"/>
      <c r="V181" s="22"/>
      <c r="X181" s="22"/>
      <c r="Z181" s="22"/>
    </row>
    <row r="182" spans="1:26" s="4" customFormat="1" ht="15.95" hidden="1" customHeight="1" x14ac:dyDescent="0.15">
      <c r="A182" s="8"/>
      <c r="B182" s="20" t="s">
        <v>405</v>
      </c>
      <c r="C182" s="4" t="s">
        <v>4</v>
      </c>
      <c r="D182" s="22">
        <f>D170/(D177)</f>
        <v>0</v>
      </c>
      <c r="E182" s="23" t="str">
        <f>IF(D182&gt;F182,"&gt;","&lt;")</f>
        <v>&lt;</v>
      </c>
      <c r="F182" s="3">
        <v>1</v>
      </c>
      <c r="G182" s="91" t="str">
        <f>IF(D182&lt;F182,"O.K.","N.G.")</f>
        <v>O.K.</v>
      </c>
      <c r="I182" s="27"/>
      <c r="J182" s="27"/>
      <c r="K182" s="27"/>
      <c r="L182" s="27"/>
      <c r="M182" s="27"/>
      <c r="O182" s="8"/>
      <c r="P182" s="8"/>
      <c r="Q182" s="8"/>
      <c r="R182" s="8"/>
      <c r="S182" s="8"/>
      <c r="T182" s="8"/>
      <c r="U182" s="8"/>
      <c r="V182" s="22"/>
      <c r="X182" s="22"/>
      <c r="Z182" s="22"/>
    </row>
    <row r="183" spans="1:26" ht="15.95" hidden="1" customHeight="1" x14ac:dyDescent="0.15"/>
    <row r="184" spans="1:26" ht="15.95" hidden="1" customHeight="1" x14ac:dyDescent="0.15"/>
    <row r="185" spans="1:26" ht="15.95" hidden="1" customHeight="1" x14ac:dyDescent="0.15"/>
    <row r="186" spans="1:26" ht="15.95" hidden="1" customHeight="1" x14ac:dyDescent="0.15"/>
    <row r="187" spans="1:26" ht="15.95" hidden="1" customHeight="1" x14ac:dyDescent="0.15"/>
  </sheetData>
  <sheetProtection algorithmName="SHA-512" hashValue="5sP2INQnuxrGGlUkZ2bJn5PooCPNu1QMyV96kXTRt3tglJc1oAJEPZ41yBov9dw7/V0EpraZgJ2J/IPnH7hsTg==" saltValue="1npOXkku3NWalYtKWqKNHQ==" spinCount="100000" sheet="1" objects="1" scenarios="1" selectLockedCells="1"/>
  <protectedRanges>
    <protectedRange sqref="D12" name="범위1_2"/>
    <protectedRange sqref="D11" name="범위1_2_1"/>
    <protectedRange sqref="D7:D10" name="범위1_2_2"/>
  </protectedRanges>
  <mergeCells count="15">
    <mergeCell ref="B46:K46"/>
    <mergeCell ref="M6:N6"/>
    <mergeCell ref="D122:E122"/>
    <mergeCell ref="Q96:R96"/>
    <mergeCell ref="S96:U96"/>
    <mergeCell ref="Q105:R105"/>
    <mergeCell ref="S105:U105"/>
    <mergeCell ref="Q113:R113"/>
    <mergeCell ref="S113:U113"/>
    <mergeCell ref="N13:N14"/>
    <mergeCell ref="O13:O14"/>
    <mergeCell ref="Q16:Q17"/>
    <mergeCell ref="O16:O17"/>
    <mergeCell ref="P80:P81"/>
    <mergeCell ref="P48:P49"/>
  </mergeCells>
  <phoneticPr fontId="1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</sheetPr>
  <dimension ref="A1:AA157"/>
  <sheetViews>
    <sheetView view="pageBreakPreview" zoomScale="75" zoomScaleNormal="100" zoomScaleSheetLayoutView="75" workbookViewId="0"/>
  </sheetViews>
  <sheetFormatPr defaultRowHeight="15.95" customHeight="1" x14ac:dyDescent="0.15"/>
  <cols>
    <col min="1" max="1" width="2.77734375" style="8" customWidth="1"/>
    <col min="2" max="2" width="7.33203125" style="8" customWidth="1"/>
    <col min="3" max="3" width="5.33203125" style="8" customWidth="1"/>
    <col min="4" max="4" width="9.33203125" style="8" customWidth="1"/>
    <col min="5" max="5" width="5.33203125" style="8" customWidth="1"/>
    <col min="6" max="6" width="9.33203125" style="8" customWidth="1"/>
    <col min="7" max="8" width="7.33203125" style="8" customWidth="1"/>
    <col min="9" max="9" width="5.33203125" style="8" customWidth="1"/>
    <col min="10" max="10" width="9.33203125" style="8" customWidth="1"/>
    <col min="11" max="11" width="7.33203125" style="8" customWidth="1"/>
    <col min="12" max="12" width="2.77734375" style="8" customWidth="1"/>
    <col min="13" max="13" width="6.77734375" style="8" customWidth="1"/>
    <col min="14" max="14" width="10.77734375" style="8" customWidth="1"/>
    <col min="15" max="15" width="8.77734375" style="8" customWidth="1"/>
    <col min="16" max="16" width="9.77734375" style="8" customWidth="1"/>
    <col min="17" max="17" width="6.77734375" style="8" customWidth="1"/>
    <col min="18" max="18" width="8.77734375" style="8" customWidth="1"/>
    <col min="19" max="20" width="6.77734375" style="8" customWidth="1"/>
    <col min="21" max="21" width="9.77734375" style="8" customWidth="1"/>
    <col min="22" max="22" width="8.88671875" style="22"/>
    <col min="23" max="23" width="5.77734375" style="8" customWidth="1"/>
    <col min="24" max="24" width="5.77734375" style="22" customWidth="1"/>
    <col min="25" max="25" width="5.77734375" style="8" customWidth="1"/>
    <col min="26" max="26" width="5.77734375" style="22" customWidth="1"/>
    <col min="27" max="27" width="5.77734375" style="8" customWidth="1"/>
    <col min="28" max="16384" width="8.88671875" style="8"/>
  </cols>
  <sheetData>
    <row r="1" spans="1:27" ht="15.95" customHeight="1" x14ac:dyDescent="0.15">
      <c r="A1" s="60" t="s">
        <v>233</v>
      </c>
    </row>
    <row r="3" spans="1:27" ht="15.95" customHeight="1" x14ac:dyDescent="0.15">
      <c r="B3" s="61" t="s">
        <v>102</v>
      </c>
    </row>
    <row r="4" spans="1:27" ht="15.95" customHeight="1" x14ac:dyDescent="0.15">
      <c r="V4" s="64" t="s">
        <v>200</v>
      </c>
      <c r="W4" s="8">
        <f>W18*Y18</f>
        <v>60</v>
      </c>
      <c r="X4" s="64" t="s">
        <v>201</v>
      </c>
      <c r="Y4" s="8">
        <f>Y18/2</f>
        <v>15</v>
      </c>
      <c r="Z4" s="64" t="s">
        <v>202</v>
      </c>
      <c r="AA4" s="8">
        <f>W17+Y16/2</f>
        <v>30</v>
      </c>
    </row>
    <row r="5" spans="1:27" ht="15.95" customHeight="1" x14ac:dyDescent="0.15">
      <c r="B5" s="62" t="s">
        <v>103</v>
      </c>
      <c r="C5" s="4" t="s">
        <v>4</v>
      </c>
      <c r="D5" s="26">
        <f>(SUMPRODUCT((N8:N10=N7)*(O7:P7=M7),O8:P10))</f>
        <v>0</v>
      </c>
      <c r="E5" s="27" t="s">
        <v>560</v>
      </c>
      <c r="H5" s="20" t="s">
        <v>113</v>
      </c>
      <c r="I5" s="33"/>
      <c r="M5" s="22"/>
      <c r="P5" s="2"/>
      <c r="Q5" s="2"/>
      <c r="V5" s="64" t="s">
        <v>203</v>
      </c>
      <c r="W5" s="8">
        <f>Y16*W16</f>
        <v>112</v>
      </c>
      <c r="X5" s="64" t="s">
        <v>204</v>
      </c>
      <c r="Y5" s="8">
        <f>Y18+W16/2</f>
        <v>31</v>
      </c>
      <c r="Z5" s="64" t="s">
        <v>205</v>
      </c>
      <c r="AA5" s="8">
        <f>W17+Y16/2</f>
        <v>30</v>
      </c>
    </row>
    <row r="6" spans="1:27" ht="15.95" customHeight="1" x14ac:dyDescent="0.15">
      <c r="B6" s="62" t="s">
        <v>235</v>
      </c>
      <c r="C6" s="4" t="s">
        <v>4</v>
      </c>
      <c r="D6" s="134">
        <f>710100/100*9.80665</f>
        <v>69637.021649999995</v>
      </c>
      <c r="E6" s="27" t="s">
        <v>561</v>
      </c>
      <c r="F6" s="64" t="s">
        <v>236</v>
      </c>
      <c r="G6" s="684">
        <v>5</v>
      </c>
      <c r="H6" s="20" t="s">
        <v>248</v>
      </c>
      <c r="I6" s="27"/>
      <c r="M6" s="782" t="s">
        <v>651</v>
      </c>
      <c r="N6" s="782"/>
      <c r="O6" s="163"/>
      <c r="P6" s="164"/>
      <c r="Q6" s="10"/>
      <c r="V6" s="64" t="s">
        <v>206</v>
      </c>
      <c r="W6" s="8">
        <f>Y16*W16</f>
        <v>112</v>
      </c>
      <c r="X6" s="64" t="s">
        <v>207</v>
      </c>
      <c r="Y6" s="8">
        <f>Y18+(Y17-W16)+W16/2</f>
        <v>149</v>
      </c>
      <c r="Z6" s="64" t="s">
        <v>208</v>
      </c>
      <c r="AA6" s="8">
        <f>W17+Y16/2</f>
        <v>30</v>
      </c>
    </row>
    <row r="7" spans="1:27" ht="15.95" customHeight="1" x14ac:dyDescent="0.15">
      <c r="B7" s="62" t="s">
        <v>104</v>
      </c>
      <c r="C7" s="4" t="s">
        <v>4</v>
      </c>
      <c r="D7" s="693">
        <v>1200</v>
      </c>
      <c r="E7" s="27" t="s">
        <v>562</v>
      </c>
      <c r="H7" s="20" t="s">
        <v>114</v>
      </c>
      <c r="M7" s="685" t="s">
        <v>649</v>
      </c>
      <c r="N7" s="686">
        <v>1</v>
      </c>
      <c r="O7" s="160" t="s">
        <v>649</v>
      </c>
      <c r="P7" s="160" t="s">
        <v>650</v>
      </c>
      <c r="V7" s="64" t="s">
        <v>209</v>
      </c>
      <c r="W7" s="8">
        <f>Y17*W17</f>
        <v>240</v>
      </c>
      <c r="X7" s="64" t="s">
        <v>210</v>
      </c>
      <c r="Y7" s="8">
        <f>Y18+Y17/2</f>
        <v>90</v>
      </c>
      <c r="Z7" s="64" t="s">
        <v>211</v>
      </c>
      <c r="AA7" s="8">
        <f>W17/2</f>
        <v>1</v>
      </c>
    </row>
    <row r="8" spans="1:27" ht="15.95" customHeight="1" x14ac:dyDescent="0.15">
      <c r="B8" s="62" t="s">
        <v>105</v>
      </c>
      <c r="C8" s="4" t="s">
        <v>4</v>
      </c>
      <c r="D8" s="693">
        <v>1500</v>
      </c>
      <c r="E8" s="27" t="s">
        <v>562</v>
      </c>
      <c r="H8" s="20" t="s">
        <v>115</v>
      </c>
      <c r="M8" s="165" t="s">
        <v>557</v>
      </c>
      <c r="N8" s="161">
        <v>1</v>
      </c>
      <c r="O8" s="162" t="str">
        <f>'WIND LOAD'!T7</f>
        <v>-</v>
      </c>
      <c r="P8" s="162">
        <f>'WIND LOAD'!U7</f>
        <v>0.96</v>
      </c>
      <c r="V8" s="64" t="s">
        <v>212</v>
      </c>
      <c r="W8" s="8">
        <f>Y17*W17</f>
        <v>240</v>
      </c>
      <c r="X8" s="64" t="s">
        <v>213</v>
      </c>
      <c r="Y8" s="8">
        <f>Y18+Y17/2</f>
        <v>90</v>
      </c>
      <c r="Z8" s="64" t="s">
        <v>214</v>
      </c>
      <c r="AA8" s="8">
        <f>W17+Y16+W17/2</f>
        <v>59</v>
      </c>
    </row>
    <row r="9" spans="1:27" ht="15.95" customHeight="1" x14ac:dyDescent="0.15">
      <c r="B9" s="20" t="s">
        <v>595</v>
      </c>
      <c r="C9" s="4" t="s">
        <v>4</v>
      </c>
      <c r="D9" s="693">
        <v>1000</v>
      </c>
      <c r="E9" s="27" t="s">
        <v>562</v>
      </c>
      <c r="H9" s="20" t="s">
        <v>448</v>
      </c>
      <c r="I9" s="27"/>
      <c r="M9" s="165" t="s">
        <v>558</v>
      </c>
      <c r="N9" s="161">
        <v>2</v>
      </c>
      <c r="O9" s="162" t="str">
        <f>'WIND LOAD'!T8</f>
        <v>-</v>
      </c>
      <c r="P9" s="162">
        <f>'WIND LOAD'!U8</f>
        <v>-0.82599999999999996</v>
      </c>
      <c r="V9" s="64"/>
      <c r="X9" s="64"/>
      <c r="Z9" s="64"/>
    </row>
    <row r="10" spans="1:27" ht="15.95" customHeight="1" x14ac:dyDescent="0.15">
      <c r="B10" s="20" t="s">
        <v>594</v>
      </c>
      <c r="C10" s="4" t="s">
        <v>4</v>
      </c>
      <c r="D10" s="693">
        <v>4000</v>
      </c>
      <c r="E10" s="27" t="s">
        <v>562</v>
      </c>
      <c r="H10" s="20" t="s">
        <v>449</v>
      </c>
      <c r="I10" s="27"/>
      <c r="M10" s="165" t="s">
        <v>559</v>
      </c>
      <c r="N10" s="161">
        <v>3</v>
      </c>
      <c r="O10" s="162" t="str">
        <f>'WIND LOAD'!T9</f>
        <v>-</v>
      </c>
      <c r="P10" s="162">
        <f>'WIND LOAD'!U9</f>
        <v>-0.98899999999999999</v>
      </c>
      <c r="V10" s="64" t="s">
        <v>215</v>
      </c>
      <c r="W10" s="8">
        <f>Y4-AA12</f>
        <v>-69.109947643979055</v>
      </c>
      <c r="X10" s="64" t="s">
        <v>216</v>
      </c>
      <c r="Y10" s="8">
        <f>AA4-AA13</f>
        <v>0</v>
      </c>
      <c r="Z10" s="64" t="s">
        <v>217</v>
      </c>
      <c r="AA10" s="8">
        <f>W4*Y4+W5*Y5+W6*Y6+W7*Y7+W8*Y8</f>
        <v>64260</v>
      </c>
    </row>
    <row r="11" spans="1:27" ht="15.95" customHeight="1" x14ac:dyDescent="0.15">
      <c r="B11" s="20" t="s">
        <v>596</v>
      </c>
      <c r="C11" s="4" t="s">
        <v>4</v>
      </c>
      <c r="D11" s="693">
        <v>2600</v>
      </c>
      <c r="E11" s="27" t="s">
        <v>562</v>
      </c>
      <c r="H11" s="20" t="s">
        <v>116</v>
      </c>
      <c r="V11" s="64" t="s">
        <v>219</v>
      </c>
      <c r="W11" s="8">
        <f>Y5-AA12</f>
        <v>-53.109947643979055</v>
      </c>
      <c r="X11" s="64" t="s">
        <v>220</v>
      </c>
      <c r="Y11" s="8">
        <f>AA5-AA13</f>
        <v>0</v>
      </c>
      <c r="Z11" s="64" t="s">
        <v>221</v>
      </c>
      <c r="AA11" s="8">
        <f>W4*AA4+W5*AA5+W6*AA6+W7*AA7+W8*AA8</f>
        <v>22920</v>
      </c>
    </row>
    <row r="12" spans="1:27" ht="15.95" customHeight="1" x14ac:dyDescent="0.15">
      <c r="V12" s="64" t="s">
        <v>222</v>
      </c>
      <c r="W12" s="8">
        <f>Y6-AA12</f>
        <v>64.890052356020945</v>
      </c>
      <c r="X12" s="64" t="s">
        <v>223</v>
      </c>
      <c r="Y12" s="8">
        <f>AA6-AA13</f>
        <v>0</v>
      </c>
      <c r="Z12" s="64" t="s">
        <v>224</v>
      </c>
      <c r="AA12" s="8">
        <f>AA10/(W4+W5+W6+W7+W8)</f>
        <v>84.109947643979055</v>
      </c>
    </row>
    <row r="13" spans="1:27" ht="15.95" customHeight="1" x14ac:dyDescent="0.15">
      <c r="M13" s="140"/>
      <c r="N13" s="786"/>
      <c r="O13" s="786"/>
      <c r="V13" s="64" t="s">
        <v>225</v>
      </c>
      <c r="W13" s="8">
        <f>Y7-AA12</f>
        <v>5.890052356020945</v>
      </c>
      <c r="X13" s="64" t="s">
        <v>226</v>
      </c>
      <c r="Y13" s="8">
        <f>AA7-AA13</f>
        <v>-29</v>
      </c>
      <c r="Z13" s="64" t="s">
        <v>227</v>
      </c>
      <c r="AA13" s="8">
        <f>AA11/(W4+W5+W6+W7+W8)</f>
        <v>30</v>
      </c>
    </row>
    <row r="14" spans="1:27" ht="15.95" customHeight="1" x14ac:dyDescent="0.15">
      <c r="B14" s="20" t="s">
        <v>109</v>
      </c>
      <c r="C14" s="4" t="s">
        <v>4</v>
      </c>
      <c r="D14" s="147">
        <f>D89</f>
        <v>0</v>
      </c>
      <c r="E14" s="27" t="s">
        <v>617</v>
      </c>
      <c r="F14" s="20"/>
      <c r="H14" s="137" t="s">
        <v>110</v>
      </c>
      <c r="I14" s="4" t="s">
        <v>4</v>
      </c>
      <c r="J14" s="92">
        <f>D130</f>
        <v>0</v>
      </c>
      <c r="K14" s="67" t="str">
        <f>IF(J14&lt;1,"O.K","N.G")</f>
        <v>O.K</v>
      </c>
      <c r="M14" s="140"/>
      <c r="N14" s="786"/>
      <c r="O14" s="786"/>
      <c r="V14" s="64" t="s">
        <v>228</v>
      </c>
      <c r="W14" s="8">
        <f>Y8-AA12</f>
        <v>5.890052356020945</v>
      </c>
      <c r="X14" s="64" t="s">
        <v>229</v>
      </c>
      <c r="Y14" s="8">
        <f>AA8-AA13</f>
        <v>29</v>
      </c>
      <c r="Z14" s="64" t="s">
        <v>230</v>
      </c>
      <c r="AA14" s="8">
        <f>((W18*Y18*Y18*Y18)/12+W4*W10*W10)+((Y16*W16*W16*W16)/12+W5*W11*W11)+((Y16*W16*W16*W16)/12+W6*W12*W12)+((W17*Y17*Y17*Y17)/12+W7*W13*W13)+((W17*Y17*Y17*Y17)/12+W8*W14*W14)</f>
        <v>1671313.4310645724</v>
      </c>
    </row>
    <row r="15" spans="1:27" ht="15.95" customHeight="1" x14ac:dyDescent="0.15">
      <c r="Z15" s="64" t="s">
        <v>231</v>
      </c>
      <c r="AA15" s="8">
        <f>((Y18*W18*W18*W18)/12+W4*Y10*Y10)+((W16*Y16*Y16*Y16)/12+W5*Y11*Y11)+((W16*Y16*Y16*Y16)/12+W6*Y12*Y12)+((Y17*W17*W17*W17)/12+W7*Y13*Y13)+((Y17*W17*W17*W17)/12+W8*Y14*Y14)</f>
        <v>462398.66666666663</v>
      </c>
    </row>
    <row r="16" spans="1:27" ht="15.95" customHeight="1" x14ac:dyDescent="0.15">
      <c r="B16" s="20" t="s">
        <v>165</v>
      </c>
      <c r="C16" s="4" t="s">
        <v>4</v>
      </c>
      <c r="D16" s="63">
        <f>D91</f>
        <v>0</v>
      </c>
      <c r="E16" s="27" t="s">
        <v>562</v>
      </c>
      <c r="F16" s="20"/>
      <c r="V16" s="64" t="s">
        <v>566</v>
      </c>
      <c r="W16" s="8">
        <f>O26</f>
        <v>2</v>
      </c>
      <c r="X16" s="64" t="s">
        <v>121</v>
      </c>
      <c r="Y16" s="8">
        <f>O30</f>
        <v>56</v>
      </c>
    </row>
    <row r="17" spans="2:25" ht="15.95" customHeight="1" x14ac:dyDescent="0.15">
      <c r="B17" s="20" t="s">
        <v>588</v>
      </c>
      <c r="C17" s="4" t="s">
        <v>4</v>
      </c>
      <c r="D17" s="63">
        <f>D150</f>
        <v>22.857142857142858</v>
      </c>
      <c r="E17" s="27" t="s">
        <v>562</v>
      </c>
      <c r="H17" s="64" t="s">
        <v>112</v>
      </c>
      <c r="I17" s="4" t="s">
        <v>4</v>
      </c>
      <c r="J17" s="92">
        <f>D155</f>
        <v>0</v>
      </c>
      <c r="K17" s="67" t="str">
        <f>IF(J17&lt;1,"O.K","N.G")</f>
        <v>O.K</v>
      </c>
      <c r="V17" s="64" t="s">
        <v>565</v>
      </c>
      <c r="W17" s="8">
        <f>O27</f>
        <v>2</v>
      </c>
      <c r="X17" s="64" t="s">
        <v>567</v>
      </c>
      <c r="Y17" s="8">
        <f>O24</f>
        <v>120</v>
      </c>
    </row>
    <row r="18" spans="2:25" ht="15.95" customHeight="1" x14ac:dyDescent="0.15">
      <c r="V18" s="64" t="s">
        <v>571</v>
      </c>
      <c r="W18" s="8">
        <f>O28</f>
        <v>2</v>
      </c>
      <c r="X18" s="64" t="s">
        <v>568</v>
      </c>
      <c r="Y18" s="8">
        <f>O25</f>
        <v>30</v>
      </c>
    </row>
    <row r="19" spans="2:25" ht="15.95" customHeight="1" x14ac:dyDescent="0.15">
      <c r="B19" s="62"/>
      <c r="C19" s="66"/>
      <c r="D19" s="4"/>
    </row>
    <row r="20" spans="2:25" ht="15.95" customHeight="1" x14ac:dyDescent="0.15">
      <c r="B20" s="61" t="s">
        <v>122</v>
      </c>
      <c r="E20" s="33"/>
      <c r="H20" s="61" t="s">
        <v>589</v>
      </c>
      <c r="J20" s="682">
        <v>1</v>
      </c>
      <c r="N20" s="8" t="s">
        <v>578</v>
      </c>
      <c r="Q20" s="4" t="s">
        <v>65</v>
      </c>
    </row>
    <row r="21" spans="2:25" ht="15.95" customHeight="1" thickBot="1" x14ac:dyDescent="0.2">
      <c r="K21" s="65"/>
      <c r="L21" s="65"/>
      <c r="M21" s="65"/>
    </row>
    <row r="22" spans="2:25" ht="15.95" customHeight="1" thickBot="1" x14ac:dyDescent="0.2">
      <c r="B22" s="121"/>
      <c r="C22" s="122"/>
      <c r="D22" s="122"/>
      <c r="E22" s="122"/>
      <c r="F22" s="122"/>
      <c r="G22" s="784"/>
      <c r="H22" s="784"/>
      <c r="I22" s="784"/>
      <c r="J22" s="784"/>
      <c r="K22" s="785"/>
      <c r="N22" s="121" t="s">
        <v>333</v>
      </c>
      <c r="O22" s="122"/>
      <c r="P22" s="122"/>
      <c r="Q22" s="121" t="s">
        <v>334</v>
      </c>
      <c r="R22" s="122"/>
      <c r="S22" s="123"/>
    </row>
    <row r="23" spans="2:25" ht="15.95" customHeight="1" x14ac:dyDescent="0.15">
      <c r="B23" s="75"/>
      <c r="G23" s="786"/>
      <c r="H23" s="786"/>
      <c r="I23" s="786"/>
      <c r="J23" s="786"/>
      <c r="K23" s="787"/>
      <c r="N23" s="68" t="s">
        <v>57</v>
      </c>
      <c r="O23" s="687">
        <v>60</v>
      </c>
      <c r="P23" s="129" t="s">
        <v>572</v>
      </c>
      <c r="Q23" s="68" t="s">
        <v>57</v>
      </c>
      <c r="R23" s="687">
        <v>60</v>
      </c>
      <c r="S23" s="69" t="s">
        <v>572</v>
      </c>
    </row>
    <row r="24" spans="2:25" ht="15.95" customHeight="1" x14ac:dyDescent="0.15">
      <c r="B24" s="75"/>
      <c r="G24" s="786"/>
      <c r="H24" s="786"/>
      <c r="I24" s="786"/>
      <c r="J24" s="786"/>
      <c r="K24" s="787"/>
      <c r="N24" s="55" t="s">
        <v>244</v>
      </c>
      <c r="O24" s="688">
        <v>120</v>
      </c>
      <c r="P24" s="27" t="s">
        <v>572</v>
      </c>
      <c r="Q24" s="55" t="s">
        <v>244</v>
      </c>
      <c r="R24" s="688">
        <v>120</v>
      </c>
      <c r="S24" s="70" t="s">
        <v>572</v>
      </c>
    </row>
    <row r="25" spans="2:25" ht="15.95" customHeight="1" x14ac:dyDescent="0.15">
      <c r="B25" s="75"/>
      <c r="G25" s="786"/>
      <c r="H25" s="786"/>
      <c r="I25" s="786"/>
      <c r="J25" s="786"/>
      <c r="K25" s="787"/>
      <c r="N25" s="55" t="s">
        <v>249</v>
      </c>
      <c r="O25" s="688">
        <v>30</v>
      </c>
      <c r="P25" s="27" t="s">
        <v>572</v>
      </c>
      <c r="Q25" s="75"/>
      <c r="R25" s="689"/>
      <c r="S25" s="94"/>
    </row>
    <row r="26" spans="2:25" ht="15.95" customHeight="1" x14ac:dyDescent="0.15">
      <c r="B26" s="75"/>
      <c r="G26" s="786"/>
      <c r="H26" s="786"/>
      <c r="I26" s="786"/>
      <c r="J26" s="786"/>
      <c r="K26" s="787"/>
      <c r="N26" s="55" t="s">
        <v>118</v>
      </c>
      <c r="O26" s="688">
        <v>2</v>
      </c>
      <c r="P26" s="27" t="s">
        <v>572</v>
      </c>
      <c r="Q26" s="55" t="s">
        <v>118</v>
      </c>
      <c r="R26" s="688">
        <v>2</v>
      </c>
      <c r="S26" s="70" t="s">
        <v>572</v>
      </c>
    </row>
    <row r="27" spans="2:25" ht="15.95" customHeight="1" x14ac:dyDescent="0.15">
      <c r="B27" s="75"/>
      <c r="G27" s="786"/>
      <c r="H27" s="786"/>
      <c r="I27" s="786"/>
      <c r="J27" s="786"/>
      <c r="K27" s="787"/>
      <c r="N27" s="55" t="s">
        <v>570</v>
      </c>
      <c r="O27" s="688">
        <v>2</v>
      </c>
      <c r="P27" s="27" t="s">
        <v>572</v>
      </c>
      <c r="Q27" s="55" t="s">
        <v>119</v>
      </c>
      <c r="R27" s="690">
        <v>2</v>
      </c>
      <c r="S27" s="70" t="s">
        <v>572</v>
      </c>
    </row>
    <row r="28" spans="2:25" ht="15.95" customHeight="1" thickBot="1" x14ac:dyDescent="0.2">
      <c r="B28" s="75"/>
      <c r="G28" s="786"/>
      <c r="H28" s="786"/>
      <c r="I28" s="786"/>
      <c r="J28" s="786"/>
      <c r="K28" s="787"/>
      <c r="N28" s="55" t="s">
        <v>237</v>
      </c>
      <c r="O28" s="688">
        <v>2</v>
      </c>
      <c r="P28" s="27" t="s">
        <v>572</v>
      </c>
      <c r="Q28" s="75"/>
      <c r="R28" s="689"/>
      <c r="S28" s="94"/>
    </row>
    <row r="29" spans="2:25" ht="15.95" customHeight="1" x14ac:dyDescent="0.15">
      <c r="B29" s="75"/>
      <c r="G29" s="786"/>
      <c r="H29" s="786"/>
      <c r="I29" s="786"/>
      <c r="J29" s="786"/>
      <c r="K29" s="787"/>
      <c r="N29" s="68" t="s">
        <v>241</v>
      </c>
      <c r="O29" s="126">
        <f>O24+O25</f>
        <v>150</v>
      </c>
      <c r="P29" s="69" t="s">
        <v>562</v>
      </c>
      <c r="Q29" s="75"/>
      <c r="R29" s="689"/>
      <c r="S29" s="94"/>
    </row>
    <row r="30" spans="2:25" ht="15.95" customHeight="1" x14ac:dyDescent="0.15">
      <c r="B30" s="75"/>
      <c r="G30" s="786"/>
      <c r="H30" s="786"/>
      <c r="I30" s="786"/>
      <c r="J30" s="786"/>
      <c r="K30" s="787"/>
      <c r="N30" s="55" t="s">
        <v>121</v>
      </c>
      <c r="O30" s="7">
        <f>O23-2*O27</f>
        <v>56</v>
      </c>
      <c r="P30" s="27" t="s">
        <v>562</v>
      </c>
      <c r="Q30" s="75"/>
      <c r="R30" s="689"/>
      <c r="S30" s="94"/>
    </row>
    <row r="31" spans="2:25" ht="15.95" customHeight="1" x14ac:dyDescent="0.15">
      <c r="B31" s="75"/>
      <c r="G31" s="786"/>
      <c r="H31" s="786"/>
      <c r="I31" s="786"/>
      <c r="J31" s="786"/>
      <c r="K31" s="787"/>
      <c r="N31" s="55" t="s">
        <v>238</v>
      </c>
      <c r="O31" s="7">
        <f>AA14</f>
        <v>1671313.4310645724</v>
      </c>
      <c r="P31" s="27" t="s">
        <v>573</v>
      </c>
      <c r="Q31" s="55" t="s">
        <v>238</v>
      </c>
      <c r="R31" s="688">
        <v>3779510</v>
      </c>
      <c r="S31" s="70" t="s">
        <v>573</v>
      </c>
    </row>
    <row r="32" spans="2:25" ht="15.95" customHeight="1" x14ac:dyDescent="0.15">
      <c r="B32" s="75"/>
      <c r="G32" s="786"/>
      <c r="H32" s="786"/>
      <c r="I32" s="786"/>
      <c r="J32" s="786"/>
      <c r="K32" s="787"/>
      <c r="N32" s="55" t="s">
        <v>239</v>
      </c>
      <c r="O32" s="7">
        <f>AA15</f>
        <v>462398.66666666663</v>
      </c>
      <c r="P32" s="27" t="s">
        <v>573</v>
      </c>
      <c r="Q32" s="55" t="s">
        <v>239</v>
      </c>
      <c r="R32" s="688">
        <v>652452</v>
      </c>
      <c r="S32" s="70" t="s">
        <v>573</v>
      </c>
    </row>
    <row r="33" spans="2:21" ht="15.95" customHeight="1" x14ac:dyDescent="0.15">
      <c r="B33" s="75"/>
      <c r="G33" s="786"/>
      <c r="H33" s="786"/>
      <c r="I33" s="786"/>
      <c r="J33" s="786"/>
      <c r="K33" s="787"/>
      <c r="N33" s="55" t="s">
        <v>1092</v>
      </c>
      <c r="O33" s="7">
        <f>AA13</f>
        <v>30</v>
      </c>
      <c r="P33" s="27" t="s">
        <v>562</v>
      </c>
      <c r="Q33" s="55" t="s">
        <v>1092</v>
      </c>
      <c r="R33" s="688">
        <v>30</v>
      </c>
      <c r="S33" s="70" t="s">
        <v>572</v>
      </c>
    </row>
    <row r="34" spans="2:21" ht="15.95" customHeight="1" x14ac:dyDescent="0.15">
      <c r="B34" s="55" t="s">
        <v>241</v>
      </c>
      <c r="C34" s="4" t="s">
        <v>4</v>
      </c>
      <c r="D34" s="130">
        <f>IF($J$20=1, O29,Q20)</f>
        <v>150</v>
      </c>
      <c r="E34" s="27" t="s">
        <v>572</v>
      </c>
      <c r="F34" s="73"/>
      <c r="G34" s="786"/>
      <c r="H34" s="786"/>
      <c r="I34" s="786"/>
      <c r="J34" s="786"/>
      <c r="K34" s="787"/>
      <c r="N34" s="55" t="s">
        <v>1093</v>
      </c>
      <c r="O34" s="7">
        <f>AA12</f>
        <v>84.109947643979055</v>
      </c>
      <c r="P34" s="27" t="s">
        <v>562</v>
      </c>
      <c r="Q34" s="55" t="s">
        <v>1093</v>
      </c>
      <c r="R34" s="688">
        <v>95.14</v>
      </c>
      <c r="S34" s="70" t="s">
        <v>572</v>
      </c>
    </row>
    <row r="35" spans="2:21" ht="15.95" customHeight="1" x14ac:dyDescent="0.15">
      <c r="B35" s="55" t="s">
        <v>57</v>
      </c>
      <c r="C35" s="4" t="s">
        <v>4</v>
      </c>
      <c r="D35" s="130">
        <f>IF($J$20=1, O23,Q20)</f>
        <v>60</v>
      </c>
      <c r="E35" s="27" t="s">
        <v>572</v>
      </c>
      <c r="G35" s="786"/>
      <c r="H35" s="786"/>
      <c r="I35" s="786"/>
      <c r="J35" s="786"/>
      <c r="K35" s="787"/>
      <c r="N35" s="55" t="s">
        <v>240</v>
      </c>
      <c r="O35" s="7">
        <f>O31/O34</f>
        <v>19870.579852681814</v>
      </c>
      <c r="P35" s="27" t="s">
        <v>574</v>
      </c>
      <c r="Q35" s="55" t="s">
        <v>240</v>
      </c>
      <c r="R35" s="688">
        <f>R31/R34</f>
        <v>39725.772545722095</v>
      </c>
      <c r="S35" s="70" t="s">
        <v>574</v>
      </c>
    </row>
    <row r="36" spans="2:21" ht="15.95" customHeight="1" thickBot="1" x14ac:dyDescent="0.2">
      <c r="B36" s="55" t="s">
        <v>244</v>
      </c>
      <c r="C36" s="4" t="s">
        <v>4</v>
      </c>
      <c r="D36" s="130">
        <f>IF($J$20=1, O24,Q20)</f>
        <v>120</v>
      </c>
      <c r="E36" s="27" t="s">
        <v>572</v>
      </c>
      <c r="F36" s="73"/>
      <c r="G36" s="786"/>
      <c r="H36" s="786"/>
      <c r="I36" s="786"/>
      <c r="J36" s="786"/>
      <c r="K36" s="787"/>
      <c r="N36" s="71" t="s">
        <v>395</v>
      </c>
      <c r="O36" s="127">
        <f>(2*O27*O26*(O23-O27)^2*(O24-O26)^2)/((O23*O27)+(O24*O26)-O27^2-O26^2)</f>
        <v>1064553.0909090908</v>
      </c>
      <c r="P36" s="128" t="s">
        <v>574</v>
      </c>
      <c r="Q36" s="71" t="s">
        <v>350</v>
      </c>
      <c r="R36" s="127">
        <f>(2*R27*R26*(R23-R27)^2*(R24-R26)^2)/((R23*R27)+(R24*R26)-R27^2-R26^2)</f>
        <v>1064553.0909090908</v>
      </c>
      <c r="S36" s="72" t="s">
        <v>575</v>
      </c>
    </row>
    <row r="37" spans="2:21" ht="15.95" customHeight="1" x14ac:dyDescent="0.15">
      <c r="B37" s="55" t="s">
        <v>623</v>
      </c>
      <c r="C37" s="4" t="s">
        <v>4</v>
      </c>
      <c r="D37" s="130">
        <f>IF($J$20=1, O25,Q20)</f>
        <v>30</v>
      </c>
      <c r="E37" s="27" t="s">
        <v>572</v>
      </c>
      <c r="F37" s="73"/>
      <c r="G37" s="786"/>
      <c r="H37" s="786"/>
      <c r="I37" s="786"/>
      <c r="J37" s="786"/>
      <c r="K37" s="787"/>
    </row>
    <row r="38" spans="2:21" ht="15.95" customHeight="1" x14ac:dyDescent="0.15">
      <c r="B38" s="55" t="s">
        <v>118</v>
      </c>
      <c r="C38" s="4" t="s">
        <v>4</v>
      </c>
      <c r="D38" s="130">
        <f>IF($J$20=1, O26,Q20)</f>
        <v>2</v>
      </c>
      <c r="E38" s="27" t="s">
        <v>572</v>
      </c>
      <c r="F38" s="73"/>
      <c r="G38" s="786"/>
      <c r="H38" s="786"/>
      <c r="I38" s="786"/>
      <c r="J38" s="786"/>
      <c r="K38" s="787"/>
      <c r="N38" s="8" t="s">
        <v>250</v>
      </c>
    </row>
    <row r="39" spans="2:21" ht="15.95" customHeight="1" thickBot="1" x14ac:dyDescent="0.2">
      <c r="B39" s="55" t="s">
        <v>570</v>
      </c>
      <c r="C39" s="4" t="s">
        <v>4</v>
      </c>
      <c r="D39" s="130">
        <f>IF($J$20=1, O27,Q20)</f>
        <v>2</v>
      </c>
      <c r="E39" s="27" t="s">
        <v>572</v>
      </c>
      <c r="G39" s="786"/>
      <c r="H39" s="786"/>
      <c r="I39" s="786"/>
      <c r="J39" s="786"/>
      <c r="K39" s="787"/>
      <c r="L39" s="65"/>
      <c r="M39" s="65"/>
      <c r="N39" s="8" t="s">
        <v>564</v>
      </c>
      <c r="S39" s="53"/>
      <c r="T39" s="54"/>
    </row>
    <row r="40" spans="2:21" ht="15.95" customHeight="1" x14ac:dyDescent="0.15">
      <c r="B40" s="55" t="s">
        <v>237</v>
      </c>
      <c r="C40" s="4" t="s">
        <v>4</v>
      </c>
      <c r="D40" s="130">
        <f>IF($J$20=1, O28,Q20)</f>
        <v>2</v>
      </c>
      <c r="E40" s="27" t="s">
        <v>572</v>
      </c>
      <c r="F40" s="73"/>
      <c r="G40" s="786"/>
      <c r="H40" s="786"/>
      <c r="I40" s="786"/>
      <c r="J40" s="786"/>
      <c r="K40" s="787"/>
      <c r="L40" s="65"/>
      <c r="M40" s="65"/>
      <c r="N40" s="68" t="s">
        <v>238</v>
      </c>
      <c r="O40" s="126">
        <f t="shared" ref="O40:O45" si="0">IF($J$20=1, O31,R31)</f>
        <v>1671313.4310645724</v>
      </c>
      <c r="P40" s="69" t="s">
        <v>573</v>
      </c>
      <c r="Q40" s="56" t="s">
        <v>396</v>
      </c>
      <c r="R40" s="126">
        <f>IF($J$20=1, O30,R23-R27*2)</f>
        <v>56</v>
      </c>
      <c r="S40" s="69" t="s">
        <v>572</v>
      </c>
      <c r="T40" s="28"/>
      <c r="U40" s="28"/>
    </row>
    <row r="41" spans="2:21" ht="15.95" customHeight="1" x14ac:dyDescent="0.15">
      <c r="B41" s="55" t="s">
        <v>407</v>
      </c>
      <c r="C41" s="4" t="s">
        <v>4</v>
      </c>
      <c r="D41" s="142">
        <f>O40</f>
        <v>1671313.4310645724</v>
      </c>
      <c r="E41" s="27" t="s">
        <v>573</v>
      </c>
      <c r="F41" s="73"/>
      <c r="G41" s="786"/>
      <c r="H41" s="786"/>
      <c r="I41" s="786"/>
      <c r="J41" s="786"/>
      <c r="K41" s="787"/>
      <c r="L41" s="65"/>
      <c r="M41" s="65"/>
      <c r="N41" s="55" t="s">
        <v>239</v>
      </c>
      <c r="O41" s="7">
        <f t="shared" si="0"/>
        <v>462398.66666666663</v>
      </c>
      <c r="P41" s="27" t="s">
        <v>573</v>
      </c>
      <c r="Q41" s="57" t="s">
        <v>397</v>
      </c>
      <c r="R41" s="7">
        <f>IF($J$20=1, O24-2*O26,R24-R26*2)</f>
        <v>116</v>
      </c>
      <c r="S41" s="70" t="s">
        <v>572</v>
      </c>
      <c r="U41" s="28"/>
    </row>
    <row r="42" spans="2:21" ht="15.95" customHeight="1" x14ac:dyDescent="0.15">
      <c r="B42" s="55" t="s">
        <v>408</v>
      </c>
      <c r="C42" s="4" t="s">
        <v>4</v>
      </c>
      <c r="D42" s="142">
        <f>O41</f>
        <v>462398.66666666663</v>
      </c>
      <c r="E42" s="27" t="s">
        <v>573</v>
      </c>
      <c r="F42" s="73"/>
      <c r="G42" s="786"/>
      <c r="H42" s="786"/>
      <c r="I42" s="786"/>
      <c r="J42" s="786"/>
      <c r="K42" s="787"/>
      <c r="L42" s="65"/>
      <c r="M42" s="65"/>
      <c r="N42" s="55" t="s">
        <v>1092</v>
      </c>
      <c r="O42" s="7">
        <f t="shared" si="0"/>
        <v>30</v>
      </c>
      <c r="P42" s="27" t="s">
        <v>562</v>
      </c>
      <c r="Q42" s="57" t="s">
        <v>398</v>
      </c>
      <c r="R42" s="7">
        <f>IF($J$20=1, O26,R26)</f>
        <v>2</v>
      </c>
      <c r="S42" s="70" t="s">
        <v>572</v>
      </c>
      <c r="T42" s="74"/>
      <c r="U42" s="28"/>
    </row>
    <row r="43" spans="2:21" ht="15.95" customHeight="1" x14ac:dyDescent="0.15">
      <c r="B43" s="55" t="s">
        <v>1092</v>
      </c>
      <c r="C43" s="4" t="s">
        <v>4</v>
      </c>
      <c r="D43" s="148">
        <f>O42</f>
        <v>30</v>
      </c>
      <c r="E43" s="27" t="s">
        <v>562</v>
      </c>
      <c r="F43" s="73"/>
      <c r="G43" s="786"/>
      <c r="H43" s="786"/>
      <c r="I43" s="786"/>
      <c r="J43" s="786"/>
      <c r="K43" s="787"/>
      <c r="L43" s="65"/>
      <c r="M43" s="65"/>
      <c r="N43" s="55" t="s">
        <v>1093</v>
      </c>
      <c r="O43" s="7">
        <f t="shared" si="0"/>
        <v>84.109947643979055</v>
      </c>
      <c r="P43" s="27" t="s">
        <v>562</v>
      </c>
      <c r="Q43" s="57" t="s">
        <v>399</v>
      </c>
      <c r="R43" s="133">
        <f>IF($J$20=1, O27,R27)</f>
        <v>2</v>
      </c>
      <c r="S43" s="70" t="s">
        <v>572</v>
      </c>
      <c r="T43" s="74"/>
      <c r="U43" s="28"/>
    </row>
    <row r="44" spans="2:21" ht="15.95" customHeight="1" x14ac:dyDescent="0.15">
      <c r="B44" s="55" t="s">
        <v>406</v>
      </c>
      <c r="C44" s="4" t="s">
        <v>4</v>
      </c>
      <c r="D44" s="142">
        <f t="shared" ref="D44:D45" si="1">O44</f>
        <v>19870.579852681814</v>
      </c>
      <c r="E44" s="27" t="s">
        <v>574</v>
      </c>
      <c r="F44" s="73"/>
      <c r="G44" s="786"/>
      <c r="H44" s="786"/>
      <c r="I44" s="786"/>
      <c r="J44" s="786"/>
      <c r="K44" s="787"/>
      <c r="L44" s="65"/>
      <c r="M44" s="65"/>
      <c r="N44" s="55" t="s">
        <v>240</v>
      </c>
      <c r="O44" s="7">
        <f t="shared" si="0"/>
        <v>19870.579852681814</v>
      </c>
      <c r="P44" s="27" t="s">
        <v>574</v>
      </c>
      <c r="Q44" s="75"/>
      <c r="R44" s="65"/>
      <c r="S44" s="76"/>
      <c r="T44" s="74"/>
      <c r="U44" s="28"/>
    </row>
    <row r="45" spans="2:21" ht="15.95" customHeight="1" thickBot="1" x14ac:dyDescent="0.2">
      <c r="B45" s="71" t="s">
        <v>395</v>
      </c>
      <c r="C45" s="17" t="s">
        <v>4</v>
      </c>
      <c r="D45" s="143">
        <f t="shared" si="1"/>
        <v>1064553.0909090908</v>
      </c>
      <c r="E45" s="128" t="s">
        <v>574</v>
      </c>
      <c r="F45" s="138"/>
      <c r="G45" s="788"/>
      <c r="H45" s="788"/>
      <c r="I45" s="788"/>
      <c r="J45" s="788"/>
      <c r="K45" s="789"/>
      <c r="L45" s="65"/>
      <c r="M45" s="65"/>
      <c r="N45" s="71" t="s">
        <v>395</v>
      </c>
      <c r="O45" s="127">
        <f t="shared" si="0"/>
        <v>1064553.0909090908</v>
      </c>
      <c r="P45" s="128" t="s">
        <v>574</v>
      </c>
      <c r="Q45" s="78"/>
      <c r="R45" s="77"/>
      <c r="S45" s="79"/>
      <c r="T45" s="74"/>
      <c r="U45" s="28"/>
    </row>
    <row r="46" spans="2:21" ht="15.95" customHeight="1" x14ac:dyDescent="0.15">
      <c r="B46" s="796" t="s">
        <v>1217</v>
      </c>
      <c r="C46" s="796"/>
      <c r="D46" s="796"/>
      <c r="E46" s="796"/>
      <c r="F46" s="796"/>
      <c r="G46" s="796"/>
      <c r="H46" s="796"/>
      <c r="I46" s="796"/>
      <c r="J46" s="796"/>
      <c r="K46" s="796"/>
      <c r="L46" s="65"/>
      <c r="M46" s="65"/>
    </row>
    <row r="47" spans="2:21" s="31" customFormat="1" ht="15.95" hidden="1" customHeight="1" x14ac:dyDescent="0.15">
      <c r="B47" s="61" t="s">
        <v>128</v>
      </c>
    </row>
    <row r="48" spans="2:21" s="31" customFormat="1" ht="15.95" hidden="1" customHeight="1" x14ac:dyDescent="0.15"/>
    <row r="49" spans="1:9" s="31" customFormat="1" ht="15.95" hidden="1" customHeight="1" x14ac:dyDescent="0.15">
      <c r="B49" s="30"/>
    </row>
    <row r="50" spans="1:9" s="31" customFormat="1" ht="15.95" hidden="1" customHeight="1" x14ac:dyDescent="0.15">
      <c r="A50" s="32"/>
    </row>
    <row r="51" spans="1:9" s="31" customFormat="1" ht="15.95" hidden="1" customHeight="1" x14ac:dyDescent="0.15">
      <c r="A51" s="32"/>
    </row>
    <row r="52" spans="1:9" s="31" customFormat="1" ht="15.95" hidden="1" customHeight="1" x14ac:dyDescent="0.15">
      <c r="A52" s="32"/>
    </row>
    <row r="53" spans="1:9" s="31" customFormat="1" ht="15.95" hidden="1" customHeight="1" x14ac:dyDescent="0.15">
      <c r="A53" s="32"/>
    </row>
    <row r="54" spans="1:9" s="31" customFormat="1" ht="15.95" hidden="1" customHeight="1" x14ac:dyDescent="0.15">
      <c r="A54" s="32"/>
    </row>
    <row r="55" spans="1:9" s="31" customFormat="1" ht="15.95" hidden="1" customHeight="1" x14ac:dyDescent="0.15">
      <c r="A55" s="32"/>
    </row>
    <row r="56" spans="1:9" s="31" customFormat="1" ht="15.95" hidden="1" customHeight="1" x14ac:dyDescent="0.15">
      <c r="A56" s="32"/>
    </row>
    <row r="57" spans="1:9" s="31" customFormat="1" ht="15.95" hidden="1" customHeight="1" x14ac:dyDescent="0.15">
      <c r="A57" s="32"/>
    </row>
    <row r="58" spans="1:9" s="31" customFormat="1" ht="15.95" hidden="1" customHeight="1" x14ac:dyDescent="0.15">
      <c r="A58" s="32"/>
      <c r="D58" s="20"/>
    </row>
    <row r="59" spans="1:9" s="31" customFormat="1" ht="15.95" hidden="1" customHeight="1" x14ac:dyDescent="0.15">
      <c r="B59" s="8" t="s">
        <v>135</v>
      </c>
    </row>
    <row r="60" spans="1:9" s="31" customFormat="1" ht="15.95" hidden="1" customHeight="1" x14ac:dyDescent="0.15"/>
    <row r="61" spans="1:9" s="31" customFormat="1" ht="15.95" hidden="1" customHeight="1" x14ac:dyDescent="0.15">
      <c r="B61" s="20" t="s">
        <v>7</v>
      </c>
      <c r="C61" s="4" t="s">
        <v>4</v>
      </c>
      <c r="D61" s="20" t="s">
        <v>419</v>
      </c>
    </row>
    <row r="62" spans="1:9" s="31" customFormat="1" ht="15.95" hidden="1" customHeight="1" x14ac:dyDescent="0.15">
      <c r="B62" s="82" t="s">
        <v>8</v>
      </c>
      <c r="C62" s="4" t="s">
        <v>4</v>
      </c>
      <c r="D62" s="20" t="s">
        <v>420</v>
      </c>
      <c r="G62" s="4"/>
      <c r="H62" s="20"/>
    </row>
    <row r="63" spans="1:9" s="31" customFormat="1" ht="15.95" hidden="1" customHeight="1" x14ac:dyDescent="0.15">
      <c r="B63" s="20" t="s">
        <v>129</v>
      </c>
      <c r="C63" s="4" t="s">
        <v>4</v>
      </c>
      <c r="D63" s="20" t="s">
        <v>421</v>
      </c>
      <c r="G63" s="4"/>
    </row>
    <row r="64" spans="1:9" s="31" customFormat="1" ht="15.95" hidden="1" customHeight="1" x14ac:dyDescent="0.15">
      <c r="B64" s="20" t="s">
        <v>130</v>
      </c>
      <c r="C64" s="4" t="s">
        <v>4</v>
      </c>
      <c r="D64" s="20" t="s">
        <v>422</v>
      </c>
      <c r="G64" s="4"/>
      <c r="H64" s="4"/>
      <c r="I64" s="20"/>
    </row>
    <row r="65" spans="1:13" s="31" customFormat="1" ht="15.95" hidden="1" customHeight="1" x14ac:dyDescent="0.15">
      <c r="B65" s="20" t="s">
        <v>418</v>
      </c>
      <c r="C65" s="4" t="s">
        <v>4</v>
      </c>
      <c r="D65" s="20" t="s">
        <v>428</v>
      </c>
      <c r="G65" s="4" t="s">
        <v>9</v>
      </c>
      <c r="H65" s="20" t="s">
        <v>146</v>
      </c>
    </row>
    <row r="66" spans="1:13" s="31" customFormat="1" ht="15.95" hidden="1" customHeight="1" x14ac:dyDescent="0.15">
      <c r="B66" s="20" t="s">
        <v>131</v>
      </c>
      <c r="C66" s="4" t="s">
        <v>4</v>
      </c>
      <c r="D66" s="20" t="s">
        <v>423</v>
      </c>
      <c r="F66" s="32"/>
      <c r="G66" s="4" t="s">
        <v>9</v>
      </c>
      <c r="H66" s="20" t="s">
        <v>147</v>
      </c>
    </row>
    <row r="67" spans="1:13" s="31" customFormat="1" ht="15.95" hidden="1" customHeight="1" x14ac:dyDescent="0.15">
      <c r="B67" s="62" t="s">
        <v>165</v>
      </c>
      <c r="C67" s="4" t="s">
        <v>4</v>
      </c>
      <c r="D67" s="20" t="s">
        <v>429</v>
      </c>
      <c r="F67" s="32"/>
      <c r="H67" s="20" t="s">
        <v>148</v>
      </c>
    </row>
    <row r="68" spans="1:13" s="31" customFormat="1" ht="15.95" hidden="1" customHeight="1" x14ac:dyDescent="0.15"/>
    <row r="69" spans="1:13" s="31" customFormat="1" ht="15.95" hidden="1" customHeight="1" x14ac:dyDescent="0.15">
      <c r="A69" s="32"/>
      <c r="B69" s="8" t="s">
        <v>136</v>
      </c>
    </row>
    <row r="70" spans="1:13" s="31" customFormat="1" ht="15.95" hidden="1" customHeight="1" x14ac:dyDescent="0.15">
      <c r="H70" s="20"/>
    </row>
    <row r="71" spans="1:13" s="31" customFormat="1" ht="15.95" hidden="1" customHeight="1" x14ac:dyDescent="0.15">
      <c r="B71" s="62" t="s">
        <v>424</v>
      </c>
      <c r="C71" s="21" t="s">
        <v>4</v>
      </c>
      <c r="D71" s="63">
        <f>ABS(D5/1000*(D7+D8)/2)</f>
        <v>0</v>
      </c>
      <c r="E71" s="8" t="s">
        <v>581</v>
      </c>
      <c r="F71" s="8"/>
      <c r="G71" s="4" t="s">
        <v>9</v>
      </c>
      <c r="H71" s="20" t="s">
        <v>430</v>
      </c>
    </row>
    <row r="72" spans="1:13" s="31" customFormat="1" ht="15.95" hidden="1" customHeight="1" x14ac:dyDescent="0.15">
      <c r="B72" s="62" t="s">
        <v>425</v>
      </c>
      <c r="C72" s="21" t="s">
        <v>4</v>
      </c>
      <c r="D72" s="63">
        <f>D71</f>
        <v>0</v>
      </c>
      <c r="E72" s="8" t="s">
        <v>581</v>
      </c>
      <c r="F72" s="8"/>
      <c r="G72" s="4" t="s">
        <v>9</v>
      </c>
      <c r="H72" s="20" t="s">
        <v>430</v>
      </c>
      <c r="M72" s="20"/>
    </row>
    <row r="73" spans="1:13" s="31" customFormat="1" ht="15.95" hidden="1" customHeight="1" x14ac:dyDescent="0.15">
      <c r="B73" s="82" t="s">
        <v>426</v>
      </c>
      <c r="C73" s="21" t="s">
        <v>4</v>
      </c>
      <c r="D73" s="147">
        <f>D9</f>
        <v>1000</v>
      </c>
      <c r="E73" s="27" t="s">
        <v>562</v>
      </c>
      <c r="F73" s="8"/>
      <c r="G73" s="4" t="s">
        <v>9</v>
      </c>
      <c r="H73" s="20" t="s">
        <v>450</v>
      </c>
      <c r="M73" s="20"/>
    </row>
    <row r="74" spans="1:13" s="31" customFormat="1" ht="15.95" hidden="1" customHeight="1" x14ac:dyDescent="0.15">
      <c r="B74" s="82" t="s">
        <v>427</v>
      </c>
      <c r="C74" s="21" t="s">
        <v>4</v>
      </c>
      <c r="D74" s="147">
        <f>D10</f>
        <v>4000</v>
      </c>
      <c r="E74" s="27" t="s">
        <v>562</v>
      </c>
      <c r="F74" s="8"/>
      <c r="G74" s="4" t="s">
        <v>9</v>
      </c>
      <c r="H74" s="20" t="s">
        <v>451</v>
      </c>
      <c r="J74" s="36"/>
      <c r="K74" s="21"/>
      <c r="L74" s="59"/>
      <c r="M74" s="32"/>
    </row>
    <row r="75" spans="1:13" s="31" customFormat="1" ht="15.95" hidden="1" customHeight="1" x14ac:dyDescent="0.15">
      <c r="B75" s="20" t="s">
        <v>7</v>
      </c>
      <c r="C75" s="21" t="s">
        <v>4</v>
      </c>
      <c r="D75" s="93">
        <f>D71*D9+D72*D10</f>
        <v>0</v>
      </c>
      <c r="E75" s="8" t="s">
        <v>599</v>
      </c>
      <c r="F75" s="8"/>
      <c r="G75" s="4"/>
      <c r="H75" s="20"/>
    </row>
    <row r="76" spans="1:13" s="31" customFormat="1" ht="15.95" hidden="1" customHeight="1" x14ac:dyDescent="0.15">
      <c r="B76" s="20" t="s">
        <v>8</v>
      </c>
      <c r="C76" s="21" t="s">
        <v>4</v>
      </c>
      <c r="D76" s="18">
        <f>(D78*D73)/(D78*D74)</f>
        <v>0.25</v>
      </c>
      <c r="E76" s="8"/>
      <c r="F76" s="8"/>
      <c r="G76" s="4"/>
    </row>
    <row r="77" spans="1:13" s="31" customFormat="1" ht="15.95" hidden="1" customHeight="1" x14ac:dyDescent="0.15">
      <c r="B77" s="62" t="s">
        <v>5</v>
      </c>
      <c r="C77" s="21" t="s">
        <v>4</v>
      </c>
      <c r="D77" s="147">
        <f>D6</f>
        <v>69637.021649999995</v>
      </c>
      <c r="E77" s="27" t="s">
        <v>561</v>
      </c>
      <c r="G77" s="4" t="s">
        <v>9</v>
      </c>
      <c r="H77" s="20" t="s">
        <v>140</v>
      </c>
    </row>
    <row r="78" spans="1:13" s="31" customFormat="1" ht="15.95" hidden="1" customHeight="1" x14ac:dyDescent="0.15">
      <c r="B78" s="62" t="s">
        <v>597</v>
      </c>
      <c r="C78" s="21" t="s">
        <v>4</v>
      </c>
      <c r="D78" s="147">
        <f>D41</f>
        <v>1671313.4310645724</v>
      </c>
      <c r="E78" s="8" t="s">
        <v>598</v>
      </c>
      <c r="G78" s="4" t="s">
        <v>9</v>
      </c>
      <c r="H78" s="20" t="s">
        <v>141</v>
      </c>
    </row>
    <row r="79" spans="1:13" s="31" customFormat="1" ht="15.95" hidden="1" customHeight="1" x14ac:dyDescent="0.15">
      <c r="F79" s="31" t="s">
        <v>0</v>
      </c>
    </row>
    <row r="80" spans="1:13" s="31" customFormat="1" ht="15.95" hidden="1" customHeight="1" x14ac:dyDescent="0.15">
      <c r="A80" s="107"/>
      <c r="B80" s="8" t="s">
        <v>149</v>
      </c>
    </row>
    <row r="81" spans="1:26" s="31" customFormat="1" ht="15.95" hidden="1" customHeight="1" x14ac:dyDescent="0.15"/>
    <row r="82" spans="1:26" s="31" customFormat="1" ht="15.95" hidden="1" customHeight="1" x14ac:dyDescent="0.15">
      <c r="A82" s="31" t="s">
        <v>1</v>
      </c>
      <c r="B82" s="20" t="s">
        <v>129</v>
      </c>
      <c r="C82" s="21" t="s">
        <v>4</v>
      </c>
      <c r="D82" s="20" t="s">
        <v>421</v>
      </c>
      <c r="H82" s="30"/>
    </row>
    <row r="83" spans="1:26" s="31" customFormat="1" ht="15.95" hidden="1" customHeight="1" x14ac:dyDescent="0.15">
      <c r="B83" s="32"/>
      <c r="C83" s="21" t="s">
        <v>4</v>
      </c>
      <c r="D83" s="147">
        <f>(D71*D73)/2-(D76*D71*D73^2+D72*D74^2)/(8*(1+D76)*D73)</f>
        <v>0</v>
      </c>
      <c r="E83" s="8" t="s">
        <v>599</v>
      </c>
    </row>
    <row r="84" spans="1:26" s="31" customFormat="1" ht="15.95" hidden="1" customHeight="1" x14ac:dyDescent="0.15">
      <c r="B84" s="20" t="s">
        <v>130</v>
      </c>
      <c r="C84" s="21" t="s">
        <v>4</v>
      </c>
      <c r="D84" s="20" t="s">
        <v>422</v>
      </c>
      <c r="H84" s="30"/>
    </row>
    <row r="85" spans="1:26" s="31" customFormat="1" ht="15.95" hidden="1" customHeight="1" x14ac:dyDescent="0.15">
      <c r="B85" s="32"/>
      <c r="C85" s="21" t="s">
        <v>4</v>
      </c>
      <c r="D85" s="147">
        <f>(D72*D74)/2-(D76*D71*D73^2+D72*D74^2)/(8*(1+D76)*D74)</f>
        <v>0</v>
      </c>
      <c r="E85" s="8" t="s">
        <v>599</v>
      </c>
    </row>
    <row r="86" spans="1:26" s="31" customFormat="1" ht="15.95" hidden="1" customHeight="1" x14ac:dyDescent="0.15">
      <c r="B86" s="20" t="s">
        <v>418</v>
      </c>
      <c r="C86" s="21" t="s">
        <v>4</v>
      </c>
      <c r="D86" s="20" t="s">
        <v>428</v>
      </c>
      <c r="H86" s="30"/>
    </row>
    <row r="87" spans="1:26" s="31" customFormat="1" ht="15.95" hidden="1" customHeight="1" x14ac:dyDescent="0.15">
      <c r="B87" s="32"/>
      <c r="C87" s="21" t="s">
        <v>4</v>
      </c>
      <c r="D87" s="147">
        <f>D75-D83-D85</f>
        <v>0</v>
      </c>
      <c r="E87" s="8" t="s">
        <v>599</v>
      </c>
      <c r="J87" s="27"/>
    </row>
    <row r="88" spans="1:26" s="31" customFormat="1" ht="15.95" hidden="1" customHeight="1" x14ac:dyDescent="0.15">
      <c r="B88" s="20" t="s">
        <v>131</v>
      </c>
      <c r="C88" s="21" t="s">
        <v>4</v>
      </c>
      <c r="D88" s="20" t="s">
        <v>423</v>
      </c>
      <c r="H88" s="30"/>
      <c r="J88" s="8"/>
      <c r="M88" s="2" t="s">
        <v>839</v>
      </c>
      <c r="N88" s="147">
        <v>2616250</v>
      </c>
      <c r="O88" s="27" t="s">
        <v>601</v>
      </c>
    </row>
    <row r="89" spans="1:26" s="31" customFormat="1" ht="15.95" hidden="1" customHeight="1" x14ac:dyDescent="0.15">
      <c r="C89" s="21" t="s">
        <v>4</v>
      </c>
      <c r="D89" s="147">
        <f>(D76*D71*D73^2+D72*D74^2)/(8*(1+D76))</f>
        <v>0</v>
      </c>
      <c r="E89" s="27" t="s">
        <v>601</v>
      </c>
      <c r="J89" s="8"/>
      <c r="M89" s="2" t="s">
        <v>840</v>
      </c>
      <c r="N89" s="414">
        <f>D89/N88</f>
        <v>0</v>
      </c>
      <c r="O89" s="2"/>
    </row>
    <row r="90" spans="1:26" s="31" customFormat="1" ht="15.95" hidden="1" customHeight="1" x14ac:dyDescent="0.15">
      <c r="B90" s="62" t="s">
        <v>165</v>
      </c>
      <c r="C90" s="21" t="s">
        <v>4</v>
      </c>
      <c r="D90" s="20" t="s">
        <v>431</v>
      </c>
      <c r="H90" s="30"/>
      <c r="J90" s="27"/>
      <c r="M90" s="2" t="s">
        <v>839</v>
      </c>
      <c r="N90" s="412">
        <v>24.02</v>
      </c>
      <c r="O90" s="27" t="s">
        <v>841</v>
      </c>
    </row>
    <row r="91" spans="1:26" s="31" customFormat="1" ht="15.95" hidden="1" customHeight="1" x14ac:dyDescent="0.15">
      <c r="B91" s="108"/>
      <c r="C91" s="21" t="s">
        <v>4</v>
      </c>
      <c r="D91" s="63">
        <f>(5*D72*D74^4/(384*D77*D78))-(D89*D74^2/(16*D77*D78))</f>
        <v>0</v>
      </c>
      <c r="E91" s="27" t="s">
        <v>600</v>
      </c>
      <c r="M91" s="2" t="s">
        <v>840</v>
      </c>
      <c r="N91" s="414">
        <f>D91/N90</f>
        <v>0</v>
      </c>
      <c r="O91" s="2"/>
    </row>
    <row r="92" spans="1:26" s="31" customFormat="1" ht="15.95" hidden="1" customHeight="1" x14ac:dyDescent="0.15">
      <c r="B92" s="108"/>
      <c r="C92" s="21"/>
    </row>
    <row r="93" spans="1:26" ht="15.95" hidden="1" customHeight="1" x14ac:dyDescent="0.15">
      <c r="A93" s="27"/>
      <c r="B93" s="61" t="s">
        <v>189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N93" s="29" t="s">
        <v>401</v>
      </c>
      <c r="O93" s="444">
        <f>G6</f>
        <v>5</v>
      </c>
      <c r="P93" s="30"/>
    </row>
    <row r="94" spans="1:26" s="31" customFormat="1" ht="15.95" hidden="1" customHeight="1" x14ac:dyDescent="0.15">
      <c r="J94" s="32"/>
      <c r="K94" s="21"/>
      <c r="L94" s="32"/>
      <c r="M94" s="32"/>
      <c r="N94" s="21"/>
      <c r="O94" s="21"/>
      <c r="P94" s="21"/>
      <c r="V94" s="36"/>
      <c r="X94" s="36"/>
      <c r="Z94" s="36"/>
    </row>
    <row r="95" spans="1:26" s="31" customFormat="1" ht="15.95" hidden="1" customHeight="1" x14ac:dyDescent="0.15">
      <c r="A95" s="8"/>
      <c r="B95" s="33" t="s">
        <v>335</v>
      </c>
      <c r="C95" s="33"/>
      <c r="G95" s="34" t="s">
        <v>336</v>
      </c>
      <c r="H95" s="85"/>
      <c r="I95" s="27"/>
      <c r="J95" s="86"/>
      <c r="K95" s="35"/>
      <c r="L95" s="8"/>
      <c r="M95" s="8"/>
      <c r="N95" s="36" t="s">
        <v>337</v>
      </c>
      <c r="O95" s="443">
        <v>14</v>
      </c>
      <c r="P95" s="8"/>
      <c r="S95" s="8"/>
      <c r="V95" s="36"/>
      <c r="X95" s="36"/>
      <c r="Z95" s="36"/>
    </row>
    <row r="96" spans="1:26" s="31" customFormat="1" ht="15.95" hidden="1" customHeight="1" x14ac:dyDescent="0.15">
      <c r="A96" s="8"/>
      <c r="B96" s="33"/>
      <c r="C96" s="8"/>
      <c r="D96" s="8"/>
      <c r="E96" s="8"/>
      <c r="G96" s="21"/>
      <c r="I96" s="8"/>
      <c r="J96" s="33"/>
      <c r="K96" s="22"/>
      <c r="L96" s="8"/>
      <c r="M96" s="22" t="s">
        <v>338</v>
      </c>
      <c r="N96" s="87">
        <v>5</v>
      </c>
      <c r="O96" s="87">
        <v>6</v>
      </c>
      <c r="Q96" s="790" t="s">
        <v>339</v>
      </c>
      <c r="R96" s="791"/>
      <c r="S96" s="792" t="s">
        <v>374</v>
      </c>
      <c r="T96" s="793"/>
      <c r="U96" s="794"/>
      <c r="V96" s="36"/>
      <c r="X96" s="36"/>
      <c r="Z96" s="36"/>
    </row>
    <row r="97" spans="1:26" s="31" customFormat="1" ht="15.95" hidden="1" customHeight="1" x14ac:dyDescent="0.15">
      <c r="A97" s="8"/>
      <c r="B97" s="20" t="s">
        <v>390</v>
      </c>
      <c r="C97" s="4" t="s">
        <v>4</v>
      </c>
      <c r="D97" s="151">
        <f>D11</f>
        <v>2600</v>
      </c>
      <c r="E97" s="13" t="s">
        <v>583</v>
      </c>
      <c r="F97" s="8"/>
      <c r="G97" s="20" t="s">
        <v>340</v>
      </c>
      <c r="H97" s="4" t="s">
        <v>341</v>
      </c>
      <c r="I97" s="130">
        <f>2*D97*D99/(SQRT(D98*D100))</f>
        <v>147.27259356576931</v>
      </c>
      <c r="K97" s="22"/>
      <c r="L97" s="8"/>
      <c r="M97" s="8"/>
      <c r="N97" s="37">
        <v>0</v>
      </c>
      <c r="O97" s="37">
        <v>0</v>
      </c>
      <c r="P97" s="21" t="s">
        <v>342</v>
      </c>
      <c r="Q97" s="38" t="s">
        <v>343</v>
      </c>
      <c r="R97" s="39" t="s">
        <v>344</v>
      </c>
      <c r="S97" s="39">
        <v>1</v>
      </c>
      <c r="T97" s="40">
        <f>IF(O93=5, N97, O97)</f>
        <v>0</v>
      </c>
      <c r="U97" s="39" t="str">
        <f>P97</f>
        <v>S  ≤  S₁</v>
      </c>
      <c r="V97" s="36"/>
      <c r="X97" s="36"/>
      <c r="Z97" s="36"/>
    </row>
    <row r="98" spans="1:26" s="31" customFormat="1" ht="15.95" hidden="1" customHeight="1" x14ac:dyDescent="0.15">
      <c r="A98" s="8"/>
      <c r="B98" s="20" t="s">
        <v>345</v>
      </c>
      <c r="C98" s="4" t="s">
        <v>4</v>
      </c>
      <c r="D98" s="151">
        <f>D42</f>
        <v>462398.66666666663</v>
      </c>
      <c r="E98" s="13" t="s">
        <v>579</v>
      </c>
      <c r="F98" s="8"/>
      <c r="G98" s="41" t="s">
        <v>346</v>
      </c>
      <c r="H98" s="22"/>
      <c r="I98" s="22"/>
      <c r="J98" s="36"/>
      <c r="K98" s="22"/>
      <c r="L98" s="8"/>
      <c r="M98" s="8"/>
      <c r="N98" s="42">
        <v>0</v>
      </c>
      <c r="O98" s="42">
        <v>0</v>
      </c>
      <c r="P98" s="21" t="s">
        <v>347</v>
      </c>
      <c r="Q98" s="43">
        <f>IF(O93=5, N98,O98)</f>
        <v>0</v>
      </c>
      <c r="R98" s="44">
        <f>IF(O93=5,N100,O100)</f>
        <v>3823</v>
      </c>
      <c r="S98" s="46">
        <v>2</v>
      </c>
      <c r="T98" s="45">
        <f>IF(O93=5, N99, O99)</f>
        <v>9.6505085589175899</v>
      </c>
      <c r="U98" s="46" t="str">
        <f>P99</f>
        <v>S₁&lt;  S  &lt; S₂</v>
      </c>
      <c r="V98" s="36"/>
      <c r="X98" s="36"/>
      <c r="Z98" s="36"/>
    </row>
    <row r="99" spans="1:26" s="31" customFormat="1" ht="15.95" hidden="1" customHeight="1" x14ac:dyDescent="0.15">
      <c r="B99" s="20" t="s">
        <v>179</v>
      </c>
      <c r="C99" s="4" t="s">
        <v>4</v>
      </c>
      <c r="D99" s="151">
        <f>D44</f>
        <v>19870.579852681814</v>
      </c>
      <c r="E99" s="13" t="s">
        <v>575</v>
      </c>
      <c r="G99" s="20" t="str">
        <f>U101</f>
        <v>S₁&lt;  S  &lt; S₂</v>
      </c>
      <c r="J99" s="8"/>
      <c r="K99" s="22"/>
      <c r="L99" s="8"/>
      <c r="M99" s="8"/>
      <c r="N99" s="42">
        <f>10.5-0.07*SQRT(I97)</f>
        <v>9.6505085589175899</v>
      </c>
      <c r="O99" s="42">
        <f>16.7-0.14*SQRT(I97)</f>
        <v>15.001017117835179</v>
      </c>
      <c r="P99" s="21" t="s">
        <v>348</v>
      </c>
      <c r="Q99" s="88" t="s">
        <v>349</v>
      </c>
      <c r="S99" s="44">
        <v>3</v>
      </c>
      <c r="T99" s="47">
        <f>IF(O93=5, N101, O101)</f>
        <v>160.24026893680735</v>
      </c>
      <c r="U99" s="44" t="str">
        <f>P101</f>
        <v>S  ≥  S₂</v>
      </c>
      <c r="V99" s="36"/>
      <c r="X99" s="36"/>
      <c r="Z99" s="36"/>
    </row>
    <row r="100" spans="1:26" s="31" customFormat="1" ht="15.95" hidden="1" customHeight="1" thickBot="1" x14ac:dyDescent="0.2">
      <c r="A100" s="8"/>
      <c r="B100" s="20" t="s">
        <v>350</v>
      </c>
      <c r="C100" s="4" t="s">
        <v>4</v>
      </c>
      <c r="D100" s="151">
        <f>D45</f>
        <v>1064553.0909090908</v>
      </c>
      <c r="E100" s="13" t="s">
        <v>579</v>
      </c>
      <c r="F100" s="22"/>
      <c r="H100" s="22"/>
      <c r="I100" s="8"/>
      <c r="J100" s="8"/>
      <c r="K100" s="8"/>
      <c r="L100" s="8"/>
      <c r="M100" s="8"/>
      <c r="N100" s="42">
        <v>3823</v>
      </c>
      <c r="O100" s="42">
        <v>2400</v>
      </c>
      <c r="P100" s="21" t="s">
        <v>352</v>
      </c>
      <c r="Q100" s="39" t="s">
        <v>353</v>
      </c>
      <c r="V100" s="36"/>
      <c r="X100" s="36"/>
      <c r="Z100" s="36"/>
    </row>
    <row r="101" spans="1:26" s="31" customFormat="1" ht="15.95" hidden="1" customHeight="1" thickBot="1" x14ac:dyDescent="0.2">
      <c r="A101" s="8"/>
      <c r="B101" s="20" t="s">
        <v>354</v>
      </c>
      <c r="C101" s="4" t="s">
        <v>4</v>
      </c>
      <c r="D101" s="8">
        <f>T101</f>
        <v>9.6505085589175899</v>
      </c>
      <c r="E101" s="13" t="s">
        <v>232</v>
      </c>
      <c r="F101" s="22"/>
      <c r="K101" s="8"/>
      <c r="L101" s="8"/>
      <c r="M101" s="8"/>
      <c r="N101" s="48">
        <f>23599/I97</f>
        <v>160.24026893680735</v>
      </c>
      <c r="O101" s="48">
        <f>23599/I97</f>
        <v>160.24026893680735</v>
      </c>
      <c r="P101" s="21" t="s">
        <v>355</v>
      </c>
      <c r="Q101" s="44">
        <f>I97</f>
        <v>147.27259356576931</v>
      </c>
      <c r="S101" s="89">
        <f>IF(Q101&lt;=Q98,1,IF(AND(Q101&gt;Q98,Q101&lt;R98),2,3))</f>
        <v>2</v>
      </c>
      <c r="T101" s="49">
        <f>VLOOKUP(S101, S97:T99, 2, FALSE)</f>
        <v>9.6505085589175899</v>
      </c>
      <c r="U101" s="50" t="str">
        <f>VLOOKUP(S101,S97:U99, 3, FALSE)</f>
        <v>S₁&lt;  S  &lt; S₂</v>
      </c>
      <c r="V101" s="36"/>
      <c r="X101" s="36"/>
      <c r="Z101" s="36"/>
    </row>
    <row r="102" spans="1:26" s="31" customFormat="1" ht="15.95" hidden="1" customHeight="1" x14ac:dyDescent="0.15">
      <c r="A102" s="8"/>
      <c r="C102" s="4" t="s">
        <v>4</v>
      </c>
      <c r="D102" s="13">
        <f>D101*6.894757</f>
        <v>66.537911440156961</v>
      </c>
      <c r="E102" s="13" t="s">
        <v>561</v>
      </c>
      <c r="F102" s="22"/>
      <c r="G102" s="22"/>
      <c r="H102" s="22"/>
      <c r="I102" s="8"/>
      <c r="J102" s="8"/>
      <c r="K102" s="8"/>
      <c r="L102" s="8"/>
      <c r="M102" s="8"/>
      <c r="V102" s="36"/>
      <c r="X102" s="36"/>
      <c r="Z102" s="36"/>
    </row>
    <row r="103" spans="1:26" s="31" customFormat="1" ht="15.95" hidden="1" customHeight="1" x14ac:dyDescent="0.15">
      <c r="A103" s="8"/>
      <c r="C103" s="4"/>
      <c r="D103" s="13"/>
      <c r="E103" s="13"/>
      <c r="F103" s="22"/>
      <c r="G103" s="22"/>
      <c r="H103" s="22"/>
      <c r="I103" s="8"/>
      <c r="J103" s="8"/>
      <c r="K103" s="8"/>
      <c r="L103" s="8"/>
      <c r="M103" s="8"/>
      <c r="V103" s="36"/>
      <c r="X103" s="36"/>
      <c r="Z103" s="36"/>
    </row>
    <row r="104" spans="1:26" s="31" customFormat="1" ht="15.95" hidden="1" customHeight="1" x14ac:dyDescent="0.15">
      <c r="A104" s="8"/>
      <c r="B104" s="33" t="s">
        <v>356</v>
      </c>
      <c r="C104" s="33"/>
      <c r="D104" s="131"/>
      <c r="E104" s="131"/>
      <c r="G104" s="34" t="s">
        <v>357</v>
      </c>
      <c r="H104" s="85"/>
      <c r="I104" s="22"/>
      <c r="J104" s="86"/>
      <c r="K104" s="8"/>
      <c r="L104" s="8"/>
      <c r="M104" s="8"/>
      <c r="N104" s="36" t="s">
        <v>337</v>
      </c>
      <c r="O104" s="443">
        <v>16</v>
      </c>
      <c r="P104" s="8"/>
      <c r="S104" s="8"/>
      <c r="V104" s="36"/>
      <c r="X104" s="36"/>
      <c r="Z104" s="36"/>
    </row>
    <row r="105" spans="1:26" s="31" customFormat="1" ht="15.95" hidden="1" customHeight="1" x14ac:dyDescent="0.15">
      <c r="A105" s="8"/>
      <c r="B105" s="33"/>
      <c r="C105" s="33"/>
      <c r="D105" s="131"/>
      <c r="E105" s="131"/>
      <c r="F105" s="33"/>
      <c r="G105" s="33"/>
      <c r="H105" s="33"/>
      <c r="I105" s="8"/>
      <c r="J105" s="33"/>
      <c r="K105" s="8"/>
      <c r="L105" s="8"/>
      <c r="M105" s="22" t="s">
        <v>338</v>
      </c>
      <c r="N105" s="87">
        <v>5</v>
      </c>
      <c r="O105" s="87">
        <v>6</v>
      </c>
      <c r="Q105" s="790" t="s">
        <v>339</v>
      </c>
      <c r="R105" s="791"/>
      <c r="S105" s="792" t="s">
        <v>374</v>
      </c>
      <c r="T105" s="793"/>
      <c r="U105" s="794"/>
      <c r="V105" s="36"/>
      <c r="X105" s="36"/>
      <c r="Z105" s="36"/>
    </row>
    <row r="106" spans="1:26" s="31" customFormat="1" ht="15.95" hidden="1" customHeight="1" x14ac:dyDescent="0.15">
      <c r="A106" s="8"/>
      <c r="B106" s="20" t="s">
        <v>121</v>
      </c>
      <c r="C106" s="4" t="s">
        <v>4</v>
      </c>
      <c r="D106" s="7">
        <f>R40</f>
        <v>56</v>
      </c>
      <c r="E106" s="13" t="s">
        <v>583</v>
      </c>
      <c r="F106" s="8"/>
      <c r="G106" s="20" t="str">
        <f>U110</f>
        <v>S₁&lt;  S  &lt; S₂</v>
      </c>
      <c r="K106" s="8"/>
      <c r="L106" s="8"/>
      <c r="M106" s="8"/>
      <c r="N106" s="37">
        <v>9.6999999999999993</v>
      </c>
      <c r="O106" s="37">
        <v>15.2</v>
      </c>
      <c r="P106" s="21" t="s">
        <v>342</v>
      </c>
      <c r="Q106" s="38" t="s">
        <v>343</v>
      </c>
      <c r="R106" s="39" t="s">
        <v>344</v>
      </c>
      <c r="S106" s="39">
        <v>1</v>
      </c>
      <c r="T106" s="40">
        <f>IF(O93=5, N106, O106)</f>
        <v>9.6999999999999993</v>
      </c>
      <c r="U106" s="39" t="str">
        <f>P106</f>
        <v>S  ≤  S₁</v>
      </c>
      <c r="V106" s="36"/>
      <c r="X106" s="36"/>
      <c r="Z106" s="36"/>
    </row>
    <row r="107" spans="1:26" s="31" customFormat="1" ht="15.95" hidden="1" customHeight="1" x14ac:dyDescent="0.15">
      <c r="A107" s="8"/>
      <c r="B107" s="20" t="s">
        <v>379</v>
      </c>
      <c r="C107" s="4" t="s">
        <v>4</v>
      </c>
      <c r="D107" s="7">
        <f>R42</f>
        <v>2</v>
      </c>
      <c r="E107" s="13" t="s">
        <v>583</v>
      </c>
      <c r="G107" s="8"/>
      <c r="H107" s="8"/>
      <c r="I107" s="8"/>
      <c r="J107" s="8"/>
      <c r="K107" s="8"/>
      <c r="L107" s="8"/>
      <c r="M107" s="8"/>
      <c r="N107" s="42">
        <v>25.6</v>
      </c>
      <c r="O107" s="42">
        <v>22.8</v>
      </c>
      <c r="P107" s="21" t="s">
        <v>347</v>
      </c>
      <c r="Q107" s="43">
        <f>IF(O93=5, N107,O107)</f>
        <v>25.6</v>
      </c>
      <c r="R107" s="44">
        <f>IF(O93=5,N109,O109)</f>
        <v>50</v>
      </c>
      <c r="S107" s="46">
        <v>2</v>
      </c>
      <c r="T107" s="45">
        <f>IF(O93=5, N108, O108)</f>
        <v>9.4760000000000009</v>
      </c>
      <c r="U107" s="46" t="str">
        <f>P108</f>
        <v>S₁&lt;  S  &lt; S₂</v>
      </c>
      <c r="V107" s="36"/>
      <c r="X107" s="36"/>
      <c r="Z107" s="36"/>
    </row>
    <row r="108" spans="1:26" s="31" customFormat="1" ht="15.95" hidden="1" customHeight="1" x14ac:dyDescent="0.15">
      <c r="A108" s="8"/>
      <c r="B108" s="20" t="s">
        <v>402</v>
      </c>
      <c r="C108" s="4" t="s">
        <v>4</v>
      </c>
      <c r="D108" s="7">
        <f>D106/D107</f>
        <v>28</v>
      </c>
      <c r="E108" s="13"/>
      <c r="F108" s="8"/>
      <c r="H108" s="8"/>
      <c r="I108" s="8"/>
      <c r="J108" s="8"/>
      <c r="K108" s="8"/>
      <c r="L108" s="8"/>
      <c r="M108" s="8"/>
      <c r="N108" s="42">
        <f>11.8-0.083*D108</f>
        <v>9.4760000000000009</v>
      </c>
      <c r="O108" s="42">
        <f>19-0.17*(D108)</f>
        <v>14.239999999999998</v>
      </c>
      <c r="P108" s="21" t="s">
        <v>348</v>
      </c>
      <c r="Q108" s="88" t="s">
        <v>349</v>
      </c>
      <c r="S108" s="44">
        <v>3</v>
      </c>
      <c r="T108" s="47">
        <f>IF(O93=5, N110, O110)</f>
        <v>13.642857142857142</v>
      </c>
      <c r="U108" s="44" t="str">
        <f>P110</f>
        <v>S  ≥  S₂</v>
      </c>
      <c r="V108" s="36"/>
      <c r="X108" s="36"/>
      <c r="Z108" s="36"/>
    </row>
    <row r="109" spans="1:26" s="31" customFormat="1" ht="15.95" hidden="1" customHeight="1" thickBot="1" x14ac:dyDescent="0.2">
      <c r="A109" s="8"/>
      <c r="B109" s="20" t="s">
        <v>365</v>
      </c>
      <c r="C109" s="4" t="s">
        <v>4</v>
      </c>
      <c r="D109" s="8">
        <f>T110</f>
        <v>9.4760000000000009</v>
      </c>
      <c r="E109" s="13" t="s">
        <v>232</v>
      </c>
      <c r="F109" s="8"/>
      <c r="G109" s="8"/>
      <c r="H109" s="8"/>
      <c r="I109" s="8"/>
      <c r="J109" s="8"/>
      <c r="K109" s="8"/>
      <c r="L109" s="8"/>
      <c r="M109" s="8"/>
      <c r="N109" s="42">
        <v>50</v>
      </c>
      <c r="O109" s="42">
        <v>39</v>
      </c>
      <c r="P109" s="21" t="s">
        <v>352</v>
      </c>
      <c r="Q109" s="39" t="s">
        <v>353</v>
      </c>
      <c r="V109" s="36"/>
      <c r="X109" s="36"/>
      <c r="Z109" s="36"/>
    </row>
    <row r="110" spans="1:26" s="31" customFormat="1" ht="15.95" hidden="1" customHeight="1" thickBot="1" x14ac:dyDescent="0.2">
      <c r="A110" s="8"/>
      <c r="B110" s="27"/>
      <c r="C110" s="4" t="s">
        <v>4</v>
      </c>
      <c r="D110" s="13">
        <f>D109*6.894757</f>
        <v>65.334717332000011</v>
      </c>
      <c r="E110" s="13" t="s">
        <v>561</v>
      </c>
      <c r="F110" s="8"/>
      <c r="G110" s="8"/>
      <c r="H110" s="8"/>
      <c r="I110" s="8"/>
      <c r="J110" s="8"/>
      <c r="K110" s="8"/>
      <c r="L110" s="8"/>
      <c r="M110" s="8"/>
      <c r="N110" s="48">
        <f>382/D108</f>
        <v>13.642857142857142</v>
      </c>
      <c r="O110" s="48">
        <f>484/D108</f>
        <v>17.285714285714285</v>
      </c>
      <c r="P110" s="21" t="s">
        <v>355</v>
      </c>
      <c r="Q110" s="44">
        <f>D108</f>
        <v>28</v>
      </c>
      <c r="S110" s="89">
        <f>IF(Q110&lt;=Q107,1,IF(AND(Q110&gt;Q107,Q110&lt;R107),2,3))</f>
        <v>2</v>
      </c>
      <c r="T110" s="49">
        <f>VLOOKUP(S110, S106:T108, 2, FALSE)</f>
        <v>9.4760000000000009</v>
      </c>
      <c r="U110" s="50" t="str">
        <f>VLOOKUP(S110,S106:U108, 3, FALSE)</f>
        <v>S₁&lt;  S  &lt; S₂</v>
      </c>
      <c r="V110" s="36"/>
      <c r="X110" s="36"/>
      <c r="Z110" s="36"/>
    </row>
    <row r="111" spans="1:26" s="31" customFormat="1" ht="15.95" hidden="1" customHeight="1" x14ac:dyDescent="0.15">
      <c r="A111" s="8"/>
      <c r="C111" s="4"/>
      <c r="D111" s="13"/>
      <c r="E111" s="13"/>
      <c r="F111" s="22"/>
      <c r="G111" s="22"/>
      <c r="H111" s="22"/>
      <c r="I111" s="8"/>
      <c r="J111" s="8"/>
      <c r="K111" s="8"/>
      <c r="L111" s="8"/>
      <c r="M111" s="8"/>
      <c r="V111" s="36"/>
      <c r="X111" s="36"/>
      <c r="Z111" s="36"/>
    </row>
    <row r="112" spans="1:26" s="31" customFormat="1" ht="15.95" hidden="1" customHeight="1" x14ac:dyDescent="0.15">
      <c r="A112" s="8"/>
      <c r="B112" s="33" t="s">
        <v>356</v>
      </c>
      <c r="C112" s="33"/>
      <c r="D112" s="131"/>
      <c r="E112" s="131"/>
      <c r="F112" s="33"/>
      <c r="G112" s="34" t="s">
        <v>370</v>
      </c>
      <c r="H112" s="85"/>
      <c r="I112" s="8"/>
      <c r="J112" s="33"/>
      <c r="K112" s="8"/>
      <c r="L112" s="8"/>
      <c r="M112" s="8"/>
      <c r="N112" s="36" t="s">
        <v>337</v>
      </c>
      <c r="O112" s="443">
        <v>18</v>
      </c>
      <c r="P112" s="8"/>
      <c r="S112" s="8"/>
      <c r="V112" s="36"/>
      <c r="X112" s="36"/>
      <c r="Z112" s="36"/>
    </row>
    <row r="113" spans="1:26" s="31" customFormat="1" ht="15.95" hidden="1" customHeight="1" x14ac:dyDescent="0.15">
      <c r="A113" s="8"/>
      <c r="B113" s="33"/>
      <c r="C113" s="33"/>
      <c r="D113" s="131"/>
      <c r="E113" s="131"/>
      <c r="F113" s="33"/>
      <c r="G113" s="33"/>
      <c r="H113" s="33"/>
      <c r="I113" s="8"/>
      <c r="J113" s="33"/>
      <c r="K113" s="8"/>
      <c r="L113" s="8"/>
      <c r="M113" s="22" t="s">
        <v>338</v>
      </c>
      <c r="N113" s="87">
        <v>5</v>
      </c>
      <c r="O113" s="87">
        <v>6</v>
      </c>
      <c r="Q113" s="790" t="s">
        <v>339</v>
      </c>
      <c r="R113" s="791"/>
      <c r="S113" s="792" t="s">
        <v>374</v>
      </c>
      <c r="T113" s="793"/>
      <c r="U113" s="794"/>
      <c r="V113" s="36"/>
      <c r="X113" s="36"/>
      <c r="Z113" s="36"/>
    </row>
    <row r="114" spans="1:26" s="31" customFormat="1" ht="15.95" hidden="1" customHeight="1" x14ac:dyDescent="0.15">
      <c r="A114" s="8"/>
      <c r="B114" s="20" t="s">
        <v>120</v>
      </c>
      <c r="C114" s="4" t="s">
        <v>4</v>
      </c>
      <c r="D114" s="7">
        <f>R41</f>
        <v>116</v>
      </c>
      <c r="E114" s="13" t="s">
        <v>583</v>
      </c>
      <c r="F114" s="8"/>
      <c r="G114" s="20" t="str">
        <f>U118</f>
        <v>S  ≤  S₁</v>
      </c>
      <c r="K114" s="8"/>
      <c r="L114" s="8"/>
      <c r="M114" s="8"/>
      <c r="N114" s="37">
        <v>12.6</v>
      </c>
      <c r="O114" s="37">
        <v>19.7</v>
      </c>
      <c r="P114" s="21" t="s">
        <v>342</v>
      </c>
      <c r="Q114" s="38" t="s">
        <v>343</v>
      </c>
      <c r="R114" s="39" t="s">
        <v>344</v>
      </c>
      <c r="S114" s="39">
        <v>1</v>
      </c>
      <c r="T114" s="40">
        <f>IF(O93=5, N114, O114)</f>
        <v>12.6</v>
      </c>
      <c r="U114" s="39" t="str">
        <f>P114</f>
        <v>S  ≤  S₁</v>
      </c>
      <c r="V114" s="36"/>
      <c r="X114" s="36"/>
      <c r="Z114" s="36"/>
    </row>
    <row r="115" spans="1:26" s="31" customFormat="1" ht="15.95" hidden="1" customHeight="1" x14ac:dyDescent="0.15">
      <c r="A115" s="8"/>
      <c r="B115" s="20" t="s">
        <v>379</v>
      </c>
      <c r="C115" s="4" t="s">
        <v>4</v>
      </c>
      <c r="D115" s="7">
        <f>R43</f>
        <v>2</v>
      </c>
      <c r="E115" s="13" t="s">
        <v>583</v>
      </c>
      <c r="F115" s="8"/>
      <c r="H115" s="8"/>
      <c r="I115" s="8"/>
      <c r="J115" s="8"/>
      <c r="K115" s="8"/>
      <c r="L115" s="8"/>
      <c r="M115" s="8"/>
      <c r="N115" s="42">
        <v>61</v>
      </c>
      <c r="O115" s="42">
        <v>54.9</v>
      </c>
      <c r="P115" s="21" t="s">
        <v>347</v>
      </c>
      <c r="Q115" s="43">
        <f>IF(O93=5, N115,O115)</f>
        <v>61</v>
      </c>
      <c r="R115" s="44">
        <f>IF(O93=5,N117,O117)</f>
        <v>115</v>
      </c>
      <c r="S115" s="46">
        <v>2</v>
      </c>
      <c r="T115" s="45">
        <f>IF(O93=5, N116, O116)</f>
        <v>12.808000000000002</v>
      </c>
      <c r="U115" s="46" t="str">
        <f>P116</f>
        <v>S₁&lt;  S  &lt; S₂</v>
      </c>
      <c r="V115" s="36"/>
      <c r="X115" s="36"/>
      <c r="Z115" s="36"/>
    </row>
    <row r="116" spans="1:26" s="31" customFormat="1" ht="15.95" hidden="1" customHeight="1" x14ac:dyDescent="0.15">
      <c r="A116" s="8"/>
      <c r="B116" s="20" t="s">
        <v>403</v>
      </c>
      <c r="C116" s="4" t="s">
        <v>4</v>
      </c>
      <c r="D116" s="7">
        <f>D114/D115</f>
        <v>58</v>
      </c>
      <c r="E116" s="13"/>
      <c r="F116" s="8"/>
      <c r="H116" s="8"/>
      <c r="I116" s="8"/>
      <c r="J116" s="8"/>
      <c r="K116" s="8"/>
      <c r="L116" s="8"/>
      <c r="M116" s="8"/>
      <c r="N116" s="42">
        <f>17.1-0.074*D116</f>
        <v>12.808000000000002</v>
      </c>
      <c r="O116" s="42">
        <f>27.9-0.15*(D116)</f>
        <v>19.2</v>
      </c>
      <c r="P116" s="21" t="s">
        <v>348</v>
      </c>
      <c r="Q116" s="88" t="s">
        <v>349</v>
      </c>
      <c r="S116" s="44">
        <v>3</v>
      </c>
      <c r="T116" s="47">
        <f>IF(O93=5, N118, O118)</f>
        <v>17</v>
      </c>
      <c r="U116" s="44" t="str">
        <f>P118</f>
        <v>S  ≥  S₂</v>
      </c>
      <c r="V116" s="36"/>
      <c r="X116" s="36"/>
      <c r="Z116" s="36"/>
    </row>
    <row r="117" spans="1:26" s="31" customFormat="1" ht="15.95" hidden="1" customHeight="1" thickBot="1" x14ac:dyDescent="0.2">
      <c r="A117" s="8"/>
      <c r="B117" s="20" t="s">
        <v>381</v>
      </c>
      <c r="C117" s="4" t="s">
        <v>4</v>
      </c>
      <c r="D117" s="8">
        <f>T118</f>
        <v>12.6</v>
      </c>
      <c r="E117" s="13" t="s">
        <v>232</v>
      </c>
      <c r="F117" s="8"/>
      <c r="G117" s="8"/>
      <c r="H117" s="8"/>
      <c r="I117" s="8"/>
      <c r="J117" s="8"/>
      <c r="K117" s="8"/>
      <c r="L117" s="8"/>
      <c r="M117" s="8"/>
      <c r="N117" s="42">
        <v>115</v>
      </c>
      <c r="O117" s="42">
        <v>93</v>
      </c>
      <c r="P117" s="21" t="s">
        <v>352</v>
      </c>
      <c r="Q117" s="39" t="s">
        <v>353</v>
      </c>
      <c r="V117" s="36"/>
      <c r="X117" s="36"/>
      <c r="Z117" s="36"/>
    </row>
    <row r="118" spans="1:26" s="31" customFormat="1" ht="15.95" hidden="1" customHeight="1" thickBot="1" x14ac:dyDescent="0.2">
      <c r="A118" s="8"/>
      <c r="B118" s="22"/>
      <c r="C118" s="4" t="s">
        <v>4</v>
      </c>
      <c r="D118" s="13">
        <f>D117*6.894757</f>
        <v>86.873938199999998</v>
      </c>
      <c r="E118" s="13" t="s">
        <v>561</v>
      </c>
      <c r="F118" s="8"/>
      <c r="G118" s="8"/>
      <c r="H118" s="8"/>
      <c r="I118" s="8"/>
      <c r="J118" s="8"/>
      <c r="K118" s="8"/>
      <c r="L118" s="8"/>
      <c r="M118" s="8"/>
      <c r="N118" s="48">
        <f>986/D116</f>
        <v>17</v>
      </c>
      <c r="O118" s="48">
        <f>1298/D116</f>
        <v>22.379310344827587</v>
      </c>
      <c r="P118" s="21" t="s">
        <v>355</v>
      </c>
      <c r="Q118" s="44">
        <f>D116</f>
        <v>58</v>
      </c>
      <c r="S118" s="89">
        <f>IF(Q118&lt;=Q115,1,IF(AND(Q118&gt;Q115,Q118&lt;=R115),2,3))</f>
        <v>1</v>
      </c>
      <c r="T118" s="49">
        <f>VLOOKUP(S118, S114:T116, 2, FALSE)</f>
        <v>12.6</v>
      </c>
      <c r="U118" s="50" t="str">
        <f>VLOOKUP(S118,S114:U116, 3, FALSE)</f>
        <v>S  ≤  S₁</v>
      </c>
      <c r="V118" s="36"/>
      <c r="X118" s="36"/>
      <c r="Z118" s="36"/>
    </row>
    <row r="119" spans="1:26" s="31" customFormat="1" ht="15.95" hidden="1" customHeight="1" x14ac:dyDescent="0.15">
      <c r="A119" s="8"/>
      <c r="B119" s="8"/>
      <c r="C119" s="8"/>
      <c r="D119" s="13"/>
      <c r="E119" s="13"/>
      <c r="F119" s="8"/>
      <c r="G119" s="8"/>
      <c r="H119" s="8"/>
      <c r="I119" s="8"/>
      <c r="J119" s="8"/>
      <c r="K119" s="8"/>
      <c r="L119" s="8"/>
      <c r="M119" s="8"/>
      <c r="N119" s="21"/>
      <c r="V119" s="36"/>
      <c r="X119" s="36"/>
      <c r="Z119" s="36"/>
    </row>
    <row r="120" spans="1:26" s="31" customFormat="1" ht="15.95" hidden="1" customHeight="1" x14ac:dyDescent="0.15">
      <c r="A120" s="8"/>
      <c r="B120" s="19" t="s">
        <v>382</v>
      </c>
      <c r="C120" s="8"/>
      <c r="D120" s="13"/>
      <c r="E120" s="3" t="s">
        <v>383</v>
      </c>
      <c r="F120" s="8" t="s">
        <v>384</v>
      </c>
      <c r="G120" s="8"/>
      <c r="H120" s="8"/>
      <c r="I120" s="8"/>
      <c r="J120" s="8"/>
      <c r="K120" s="8"/>
      <c r="L120" s="8"/>
      <c r="M120" s="8"/>
      <c r="N120" s="21"/>
      <c r="V120" s="36"/>
      <c r="X120" s="36"/>
      <c r="Z120" s="36"/>
    </row>
    <row r="121" spans="1:26" s="31" customFormat="1" ht="15.95" hidden="1" customHeight="1" x14ac:dyDescent="0.15">
      <c r="A121" s="8"/>
      <c r="B121" s="19"/>
      <c r="C121" s="8"/>
      <c r="D121" s="13"/>
      <c r="E121" s="13"/>
      <c r="F121" s="8"/>
      <c r="G121" s="8"/>
      <c r="H121" s="8"/>
      <c r="I121" s="8"/>
      <c r="J121" s="8"/>
      <c r="K121" s="8"/>
      <c r="L121" s="8"/>
      <c r="M121" s="8"/>
      <c r="N121" s="21"/>
      <c r="V121" s="36"/>
      <c r="X121" s="36"/>
      <c r="Z121" s="36"/>
    </row>
    <row r="122" spans="1:26" s="31" customFormat="1" ht="15.95" hidden="1" customHeight="1" x14ac:dyDescent="0.15">
      <c r="A122" s="8"/>
      <c r="B122" s="20" t="s">
        <v>180</v>
      </c>
      <c r="C122" s="4" t="s">
        <v>4</v>
      </c>
      <c r="D122" s="783" t="s">
        <v>625</v>
      </c>
      <c r="E122" s="783"/>
      <c r="F122" s="8"/>
      <c r="G122" s="8"/>
      <c r="H122" s="8"/>
      <c r="I122" s="8"/>
      <c r="J122" s="8"/>
      <c r="K122" s="8"/>
      <c r="L122" s="8"/>
      <c r="M122" s="8"/>
      <c r="N122" s="21"/>
      <c r="V122" s="36"/>
      <c r="X122" s="36"/>
      <c r="Z122" s="36"/>
    </row>
    <row r="123" spans="1:26" s="31" customFormat="1" ht="15.95" hidden="1" customHeight="1" x14ac:dyDescent="0.15">
      <c r="A123" s="8"/>
      <c r="B123" s="22"/>
      <c r="C123" s="4" t="s">
        <v>4</v>
      </c>
      <c r="D123" s="7">
        <f>0.85*D14/D44</f>
        <v>0</v>
      </c>
      <c r="E123" s="13" t="s">
        <v>561</v>
      </c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V123" s="36"/>
      <c r="X123" s="36"/>
      <c r="Z123" s="36"/>
    </row>
    <row r="124" spans="1:26" s="31" customFormat="1" ht="15.95" hidden="1" customHeight="1" x14ac:dyDescent="0.15">
      <c r="A124" s="8"/>
      <c r="B124" s="20" t="s">
        <v>184</v>
      </c>
      <c r="C124" s="4" t="s">
        <v>4</v>
      </c>
      <c r="D124" s="6" t="s">
        <v>387</v>
      </c>
      <c r="E124" s="132"/>
      <c r="F124" s="20"/>
      <c r="H124" s="8"/>
      <c r="I124" s="8"/>
      <c r="J124" s="8"/>
      <c r="K124" s="8"/>
      <c r="L124" s="8"/>
      <c r="M124" s="8"/>
      <c r="N124" s="8"/>
      <c r="O124" s="8"/>
      <c r="P124" s="8"/>
      <c r="V124" s="36"/>
      <c r="X124" s="36"/>
      <c r="Z124" s="36"/>
    </row>
    <row r="125" spans="1:26" s="31" customFormat="1" ht="15.95" hidden="1" customHeight="1" x14ac:dyDescent="0.15">
      <c r="A125" s="8"/>
      <c r="B125" s="27"/>
      <c r="C125" s="4" t="s">
        <v>4</v>
      </c>
      <c r="D125" s="51">
        <f>MIN(D102,D110,D118)</f>
        <v>65.334717332000011</v>
      </c>
      <c r="E125" s="13" t="s">
        <v>561</v>
      </c>
      <c r="F125" s="8"/>
      <c r="G125" s="22"/>
      <c r="H125" s="27"/>
      <c r="I125" s="22"/>
      <c r="J125" s="8"/>
      <c r="K125" s="8"/>
      <c r="L125" s="8"/>
      <c r="M125" s="8"/>
      <c r="N125" s="8"/>
      <c r="O125" s="8"/>
      <c r="P125" s="8"/>
      <c r="V125" s="36"/>
      <c r="X125" s="36"/>
      <c r="Z125" s="36"/>
    </row>
    <row r="126" spans="1:26" s="31" customFormat="1" ht="15.95" hidden="1" customHeight="1" x14ac:dyDescent="0.15">
      <c r="A126" s="8"/>
      <c r="C126" s="4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V126" s="36"/>
      <c r="X126" s="36"/>
      <c r="Z126" s="36"/>
    </row>
    <row r="127" spans="1:26" ht="15.95" hidden="1" customHeight="1" x14ac:dyDescent="0.15"/>
    <row r="128" spans="1:26" ht="15.95" hidden="1" customHeight="1" x14ac:dyDescent="0.15">
      <c r="B128" s="19" t="s">
        <v>187</v>
      </c>
    </row>
    <row r="129" spans="1:14" ht="15.95" hidden="1" customHeight="1" x14ac:dyDescent="0.15"/>
    <row r="130" spans="1:14" ht="15.95" hidden="1" customHeight="1" x14ac:dyDescent="0.15">
      <c r="B130" s="20" t="s">
        <v>404</v>
      </c>
      <c r="C130" s="4" t="s">
        <v>4</v>
      </c>
      <c r="D130" s="22">
        <f>D123/D125</f>
        <v>0</v>
      </c>
      <c r="E130" s="23" t="str">
        <f>IF(D130&gt;F130,"&gt;","&lt;")</f>
        <v>&lt;</v>
      </c>
      <c r="F130" s="3">
        <v>1</v>
      </c>
      <c r="G130" s="91" t="str">
        <f>IF(D130&lt;F130,"O.K.","N.G.")</f>
        <v>O.K.</v>
      </c>
    </row>
    <row r="131" spans="1:14" ht="15.95" hidden="1" customHeight="1" x14ac:dyDescent="0.15">
      <c r="B131" s="52"/>
      <c r="D131" s="27"/>
    </row>
    <row r="132" spans="1:14" ht="15.95" hidden="1" customHeight="1" x14ac:dyDescent="0.15">
      <c r="A132" s="27"/>
      <c r="B132" s="27"/>
      <c r="C132" s="27"/>
      <c r="D132" s="27"/>
      <c r="E132" s="27"/>
      <c r="F132" s="33"/>
      <c r="G132" s="27"/>
      <c r="H132" s="27"/>
      <c r="I132" s="27"/>
      <c r="J132" s="27"/>
      <c r="K132" s="27"/>
      <c r="L132" s="27"/>
    </row>
    <row r="133" spans="1:14" ht="15.95" hidden="1" customHeight="1" x14ac:dyDescent="0.1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4"/>
    </row>
    <row r="134" spans="1:14" ht="15.95" hidden="1" customHeight="1" x14ac:dyDescent="0.1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4"/>
    </row>
    <row r="135" spans="1:14" ht="15.95" hidden="1" customHeight="1" x14ac:dyDescent="0.15">
      <c r="B135" s="33"/>
      <c r="D135" s="27"/>
    </row>
    <row r="136" spans="1:14" ht="15.95" hidden="1" customHeight="1" x14ac:dyDescent="0.15">
      <c r="B136" s="33"/>
      <c r="D136" s="27"/>
    </row>
    <row r="137" spans="1:14" ht="15.95" hidden="1" customHeight="1" x14ac:dyDescent="0.15">
      <c r="B137" s="33"/>
      <c r="D137" s="27"/>
    </row>
    <row r="138" spans="1:14" ht="15.95" hidden="1" customHeight="1" x14ac:dyDescent="0.15">
      <c r="B138" s="33"/>
      <c r="D138" s="27"/>
    </row>
    <row r="139" spans="1:14" ht="15.95" hidden="1" customHeight="1" x14ac:dyDescent="0.15">
      <c r="B139" s="24" t="s">
        <v>190</v>
      </c>
    </row>
    <row r="140" spans="1:14" ht="15.95" hidden="1" customHeight="1" x14ac:dyDescent="0.15"/>
    <row r="141" spans="1:14" ht="15.95" hidden="1" customHeight="1" x14ac:dyDescent="0.15">
      <c r="B141" s="19" t="s">
        <v>192</v>
      </c>
    </row>
    <row r="142" spans="1:14" ht="15.95" hidden="1" customHeight="1" x14ac:dyDescent="0.15">
      <c r="B142" s="19"/>
    </row>
    <row r="143" spans="1:14" ht="15.95" hidden="1" customHeight="1" x14ac:dyDescent="0.15">
      <c r="B143" s="62" t="s">
        <v>165</v>
      </c>
      <c r="C143" s="4" t="s">
        <v>4</v>
      </c>
      <c r="D143" s="8">
        <f>D16</f>
        <v>0</v>
      </c>
      <c r="E143" s="13" t="s">
        <v>583</v>
      </c>
    </row>
    <row r="144" spans="1:14" ht="15.95" hidden="1" customHeight="1" x14ac:dyDescent="0.15"/>
    <row r="145" spans="1:26" ht="15.95" hidden="1" customHeight="1" x14ac:dyDescent="0.15"/>
    <row r="146" spans="1:26" ht="15.95" hidden="1" customHeight="1" x14ac:dyDescent="0.15">
      <c r="B146" s="19" t="s">
        <v>191</v>
      </c>
      <c r="E146" s="26" t="s">
        <v>195</v>
      </c>
    </row>
    <row r="147" spans="1:26" ht="15.95" hidden="1" customHeight="1" x14ac:dyDescent="0.15">
      <c r="B147" s="19"/>
    </row>
    <row r="148" spans="1:26" ht="15.95" hidden="1" customHeight="1" x14ac:dyDescent="0.15">
      <c r="B148" s="62" t="s">
        <v>2</v>
      </c>
      <c r="C148" s="4" t="s">
        <v>4</v>
      </c>
      <c r="D148" s="142">
        <f>D10</f>
        <v>4000</v>
      </c>
      <c r="E148" s="8" t="str">
        <f>IF(D148&gt;4110,"mm      &gt;     4110 mm","mm     ≤     4110 mm")</f>
        <v>mm     ≤     4110 mm</v>
      </c>
      <c r="M148" s="27" t="s">
        <v>196</v>
      </c>
      <c r="N148" s="25">
        <f>D148/240+6.35</f>
        <v>23.016666666666666</v>
      </c>
    </row>
    <row r="149" spans="1:26" ht="15.95" hidden="1" customHeight="1" x14ac:dyDescent="0.15">
      <c r="B149" s="62" t="s">
        <v>193</v>
      </c>
      <c r="C149" s="4" t="s">
        <v>4</v>
      </c>
      <c r="D149" s="152">
        <f>D148</f>
        <v>4000</v>
      </c>
      <c r="E149" s="19" t="str">
        <f>IF(D148&lt;4110,"mm      /     175","mm      /      240 + 6.35 mm ")</f>
        <v>mm      /     175</v>
      </c>
      <c r="M149" s="27" t="s">
        <v>197</v>
      </c>
      <c r="N149" s="25">
        <f>D148/175</f>
        <v>22.857142857142858</v>
      </c>
    </row>
    <row r="150" spans="1:26" ht="15.95" hidden="1" customHeight="1" x14ac:dyDescent="0.15">
      <c r="B150" s="22"/>
      <c r="C150" s="4" t="s">
        <v>4</v>
      </c>
      <c r="D150" s="22">
        <f>IF(D148&gt;4110,N148,N149)</f>
        <v>22.857142857142858</v>
      </c>
      <c r="E150" s="8" t="s">
        <v>600</v>
      </c>
    </row>
    <row r="151" spans="1:26" ht="15.95" hidden="1" customHeight="1" x14ac:dyDescent="0.15"/>
    <row r="152" spans="1:26" ht="15.95" hidden="1" customHeight="1" x14ac:dyDescent="0.15"/>
    <row r="153" spans="1:26" ht="15.95" hidden="1" customHeight="1" x14ac:dyDescent="0.15">
      <c r="B153" s="19" t="s">
        <v>198</v>
      </c>
    </row>
    <row r="154" spans="1:26" s="4" customFormat="1" ht="15.95" hidden="1" customHeight="1" x14ac:dyDescent="0.15">
      <c r="A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O154" s="8"/>
      <c r="P154" s="8"/>
      <c r="Q154" s="8"/>
      <c r="R154" s="8"/>
      <c r="S154" s="8"/>
      <c r="T154" s="8"/>
      <c r="U154" s="8"/>
      <c r="V154" s="22"/>
      <c r="X154" s="22"/>
      <c r="Z154" s="22"/>
    </row>
    <row r="155" spans="1:26" s="4" customFormat="1" ht="15.95" hidden="1" customHeight="1" x14ac:dyDescent="0.15">
      <c r="A155" s="8"/>
      <c r="B155" s="20" t="s">
        <v>405</v>
      </c>
      <c r="C155" s="4" t="s">
        <v>4</v>
      </c>
      <c r="D155" s="22">
        <f>D143/(D150)</f>
        <v>0</v>
      </c>
      <c r="E155" s="23" t="str">
        <f>IF(D155&gt;F155,"&gt;","&lt;")</f>
        <v>&lt;</v>
      </c>
      <c r="F155" s="3">
        <v>1</v>
      </c>
      <c r="G155" s="91" t="str">
        <f>IF(D155&lt;F155,"O.K.","N.G.")</f>
        <v>O.K.</v>
      </c>
      <c r="I155" s="27"/>
      <c r="J155" s="27"/>
      <c r="K155" s="27"/>
      <c r="L155" s="27"/>
      <c r="M155" s="27"/>
      <c r="O155" s="8"/>
      <c r="P155" s="8"/>
      <c r="Q155" s="8"/>
      <c r="R155" s="8"/>
      <c r="S155" s="8"/>
      <c r="T155" s="8"/>
      <c r="U155" s="8"/>
      <c r="V155" s="22"/>
      <c r="X155" s="22"/>
      <c r="Z155" s="22"/>
    </row>
    <row r="156" spans="1:26" ht="15.95" hidden="1" customHeight="1" x14ac:dyDescent="0.15"/>
    <row r="157" spans="1:26" ht="15.95" hidden="1" customHeight="1" x14ac:dyDescent="0.15"/>
  </sheetData>
  <sheetProtection algorithmName="SHA-512" hashValue="TumFwexI9n2bBBWMled0wFDJIFw2HatTYKNpfASZOuWEpAyWAAI6/m84YItHZLwv77V6cP3suZiIrZFHS4YJFA==" saltValue="/Gc2Y8imN6LvOYLLeewHlw==" spinCount="100000" sheet="1" objects="1" scenarios="1" selectLockedCells="1"/>
  <protectedRanges>
    <protectedRange sqref="D7:D11" name="범위1_2"/>
  </protectedRanges>
  <mergeCells count="12">
    <mergeCell ref="M6:N6"/>
    <mergeCell ref="D122:E122"/>
    <mergeCell ref="G22:K45"/>
    <mergeCell ref="Q96:R96"/>
    <mergeCell ref="S96:U96"/>
    <mergeCell ref="Q105:R105"/>
    <mergeCell ref="S105:U105"/>
    <mergeCell ref="Q113:R113"/>
    <mergeCell ref="S113:U113"/>
    <mergeCell ref="N13:N14"/>
    <mergeCell ref="O13:O14"/>
    <mergeCell ref="B46:K46"/>
  </mergeCells>
  <phoneticPr fontId="1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00B0F0"/>
  </sheetPr>
  <dimension ref="A1:AA186"/>
  <sheetViews>
    <sheetView view="pageBreakPreview" zoomScale="75" zoomScaleNormal="100" zoomScaleSheetLayoutView="75" workbookViewId="0"/>
  </sheetViews>
  <sheetFormatPr defaultRowHeight="15.95" customHeight="1" x14ac:dyDescent="0.15"/>
  <cols>
    <col min="1" max="1" width="2.77734375" style="8" customWidth="1"/>
    <col min="2" max="2" width="7.33203125" style="8" customWidth="1"/>
    <col min="3" max="3" width="5.33203125" style="8" customWidth="1"/>
    <col min="4" max="4" width="9.33203125" style="8" customWidth="1"/>
    <col min="5" max="5" width="5.33203125" style="8" customWidth="1"/>
    <col min="6" max="6" width="9.33203125" style="8" customWidth="1"/>
    <col min="7" max="8" width="7.33203125" style="8" customWidth="1"/>
    <col min="9" max="9" width="5.33203125" style="8" customWidth="1"/>
    <col min="10" max="10" width="9.33203125" style="8" customWidth="1"/>
    <col min="11" max="11" width="7.33203125" style="8" customWidth="1"/>
    <col min="12" max="12" width="2.77734375" style="8" customWidth="1"/>
    <col min="13" max="13" width="6.77734375" style="8" customWidth="1"/>
    <col min="14" max="14" width="9.21875" style="8" customWidth="1"/>
    <col min="15" max="15" width="8.77734375" style="8" customWidth="1"/>
    <col min="16" max="16" width="9.77734375" style="8" customWidth="1"/>
    <col min="17" max="17" width="6.77734375" style="8" customWidth="1"/>
    <col min="18" max="18" width="8.77734375" style="8" customWidth="1"/>
    <col min="19" max="20" width="6.77734375" style="8" customWidth="1"/>
    <col min="21" max="21" width="9.77734375" style="8" customWidth="1"/>
    <col min="22" max="22" width="8.88671875" style="22"/>
    <col min="23" max="23" width="5.77734375" style="8" customWidth="1"/>
    <col min="24" max="24" width="5.77734375" style="22" customWidth="1"/>
    <col min="25" max="25" width="5.77734375" style="8" customWidth="1"/>
    <col min="26" max="26" width="5.77734375" style="22" customWidth="1"/>
    <col min="27" max="27" width="5.77734375" style="8" customWidth="1"/>
    <col min="28" max="16384" width="8.88671875" style="8"/>
  </cols>
  <sheetData>
    <row r="1" spans="1:27" ht="15.95" customHeight="1" x14ac:dyDescent="0.15">
      <c r="A1" s="60" t="s">
        <v>233</v>
      </c>
    </row>
    <row r="3" spans="1:27" ht="15.95" customHeight="1" x14ac:dyDescent="0.15">
      <c r="B3" s="61" t="s">
        <v>102</v>
      </c>
    </row>
    <row r="4" spans="1:27" ht="15.95" customHeight="1" x14ac:dyDescent="0.15">
      <c r="V4" s="64" t="s">
        <v>200</v>
      </c>
      <c r="W4" s="8">
        <f>W18*Y18</f>
        <v>60</v>
      </c>
      <c r="X4" s="64" t="s">
        <v>201</v>
      </c>
      <c r="Y4" s="8">
        <f>Y18/2</f>
        <v>15</v>
      </c>
      <c r="Z4" s="64" t="s">
        <v>202</v>
      </c>
      <c r="AA4" s="8">
        <f>W17+Y16/2</f>
        <v>30</v>
      </c>
    </row>
    <row r="5" spans="1:27" ht="15.95" customHeight="1" x14ac:dyDescent="0.15">
      <c r="B5" s="62" t="s">
        <v>103</v>
      </c>
      <c r="C5" s="4" t="s">
        <v>4</v>
      </c>
      <c r="D5" s="26">
        <f>(SUMPRODUCT((N8:N10=N7)*(O7:P7=M7),O8:P10))</f>
        <v>0</v>
      </c>
      <c r="E5" s="27" t="s">
        <v>560</v>
      </c>
      <c r="H5" s="20" t="s">
        <v>113</v>
      </c>
      <c r="I5" s="33"/>
      <c r="M5" s="22"/>
      <c r="P5" s="2"/>
      <c r="Q5" s="2"/>
      <c r="V5" s="64" t="s">
        <v>203</v>
      </c>
      <c r="W5" s="8">
        <f>Y16*W16</f>
        <v>112</v>
      </c>
      <c r="X5" s="64" t="s">
        <v>204</v>
      </c>
      <c r="Y5" s="8">
        <f>Y18+W16/2</f>
        <v>31</v>
      </c>
      <c r="Z5" s="64" t="s">
        <v>205</v>
      </c>
      <c r="AA5" s="8">
        <f>W17+Y16/2</f>
        <v>30</v>
      </c>
    </row>
    <row r="6" spans="1:27" ht="15.95" customHeight="1" x14ac:dyDescent="0.15">
      <c r="B6" s="62" t="s">
        <v>235</v>
      </c>
      <c r="C6" s="4" t="s">
        <v>4</v>
      </c>
      <c r="D6" s="147">
        <f>710100/100*9.80665</f>
        <v>69637.021649999995</v>
      </c>
      <c r="E6" s="27" t="s">
        <v>561</v>
      </c>
      <c r="F6" s="64" t="s">
        <v>236</v>
      </c>
      <c r="G6" s="684">
        <v>5</v>
      </c>
      <c r="H6" s="20" t="s">
        <v>248</v>
      </c>
      <c r="I6" s="27"/>
      <c r="M6" s="782" t="s">
        <v>651</v>
      </c>
      <c r="N6" s="782"/>
      <c r="O6" s="163"/>
      <c r="P6" s="164"/>
      <c r="Q6" s="2"/>
      <c r="R6" s="2"/>
      <c r="V6" s="64" t="s">
        <v>206</v>
      </c>
      <c r="W6" s="8">
        <f>Y16*W16</f>
        <v>112</v>
      </c>
      <c r="X6" s="64" t="s">
        <v>207</v>
      </c>
      <c r="Y6" s="8">
        <f>Y18+(Y17-W16)+W16/2</f>
        <v>149</v>
      </c>
      <c r="Z6" s="64" t="s">
        <v>208</v>
      </c>
      <c r="AA6" s="8">
        <f>W17+Y16/2</f>
        <v>30</v>
      </c>
    </row>
    <row r="7" spans="1:27" ht="15.95" customHeight="1" x14ac:dyDescent="0.15">
      <c r="B7" s="62" t="s">
        <v>104</v>
      </c>
      <c r="C7" s="4" t="s">
        <v>4</v>
      </c>
      <c r="D7" s="693">
        <v>1200</v>
      </c>
      <c r="E7" s="27" t="s">
        <v>562</v>
      </c>
      <c r="H7" s="20" t="s">
        <v>114</v>
      </c>
      <c r="M7" s="685" t="s">
        <v>649</v>
      </c>
      <c r="N7" s="686">
        <v>1</v>
      </c>
      <c r="O7" s="160" t="s">
        <v>649</v>
      </c>
      <c r="P7" s="160" t="s">
        <v>650</v>
      </c>
      <c r="V7" s="64" t="s">
        <v>209</v>
      </c>
      <c r="W7" s="8">
        <f>Y17*W17</f>
        <v>240</v>
      </c>
      <c r="X7" s="64" t="s">
        <v>210</v>
      </c>
      <c r="Y7" s="8">
        <f>Y18+Y17/2</f>
        <v>90</v>
      </c>
      <c r="Z7" s="64" t="s">
        <v>211</v>
      </c>
      <c r="AA7" s="8">
        <f>W17/2</f>
        <v>1</v>
      </c>
    </row>
    <row r="8" spans="1:27" ht="15.95" customHeight="1" x14ac:dyDescent="0.15">
      <c r="B8" s="62" t="s">
        <v>105</v>
      </c>
      <c r="C8" s="4" t="s">
        <v>4</v>
      </c>
      <c r="D8" s="693">
        <v>1500</v>
      </c>
      <c r="E8" s="27" t="s">
        <v>562</v>
      </c>
      <c r="H8" s="20" t="s">
        <v>115</v>
      </c>
      <c r="M8" s="165" t="s">
        <v>557</v>
      </c>
      <c r="N8" s="161">
        <v>1</v>
      </c>
      <c r="O8" s="162" t="str">
        <f>'WIND LOAD'!T7</f>
        <v>-</v>
      </c>
      <c r="P8" s="162">
        <f>'WIND LOAD'!U7</f>
        <v>0.96</v>
      </c>
      <c r="V8" s="64" t="s">
        <v>212</v>
      </c>
      <c r="W8" s="8">
        <f>Y17*W17</f>
        <v>240</v>
      </c>
      <c r="X8" s="64" t="s">
        <v>213</v>
      </c>
      <c r="Y8" s="8">
        <f>Y18+Y17/2</f>
        <v>90</v>
      </c>
      <c r="Z8" s="64" t="s">
        <v>214</v>
      </c>
      <c r="AA8" s="8">
        <f>W17+Y16+W17/2</f>
        <v>59</v>
      </c>
    </row>
    <row r="9" spans="1:27" ht="15.95" customHeight="1" x14ac:dyDescent="0.15">
      <c r="B9" s="20" t="s">
        <v>595</v>
      </c>
      <c r="C9" s="4" t="s">
        <v>4</v>
      </c>
      <c r="D9" s="693">
        <v>1000</v>
      </c>
      <c r="E9" s="27" t="s">
        <v>562</v>
      </c>
      <c r="H9" s="20" t="s">
        <v>448</v>
      </c>
      <c r="I9" s="27"/>
      <c r="M9" s="165" t="s">
        <v>558</v>
      </c>
      <c r="N9" s="161">
        <v>2</v>
      </c>
      <c r="O9" s="162" t="str">
        <f>'WIND LOAD'!T8</f>
        <v>-</v>
      </c>
      <c r="P9" s="162">
        <f>'WIND LOAD'!U8</f>
        <v>-0.82599999999999996</v>
      </c>
      <c r="V9" s="64"/>
      <c r="X9" s="64"/>
      <c r="Z9" s="64"/>
    </row>
    <row r="10" spans="1:27" ht="15.95" customHeight="1" x14ac:dyDescent="0.15">
      <c r="B10" s="20" t="s">
        <v>594</v>
      </c>
      <c r="C10" s="4" t="s">
        <v>4</v>
      </c>
      <c r="D10" s="693">
        <v>4000</v>
      </c>
      <c r="E10" s="27" t="s">
        <v>562</v>
      </c>
      <c r="H10" s="20" t="s">
        <v>449</v>
      </c>
      <c r="I10" s="27"/>
      <c r="M10" s="165" t="s">
        <v>559</v>
      </c>
      <c r="N10" s="161">
        <v>3</v>
      </c>
      <c r="O10" s="162" t="str">
        <f>'WIND LOAD'!T9</f>
        <v>-</v>
      </c>
      <c r="P10" s="162">
        <f>'WIND LOAD'!U9</f>
        <v>-0.98899999999999999</v>
      </c>
      <c r="V10" s="64" t="s">
        <v>215</v>
      </c>
      <c r="W10" s="8">
        <f>Y4-AA12</f>
        <v>-69.109947643979055</v>
      </c>
      <c r="X10" s="64" t="s">
        <v>216</v>
      </c>
      <c r="Y10" s="8">
        <f>AA4-AA13</f>
        <v>0</v>
      </c>
      <c r="Z10" s="64" t="s">
        <v>217</v>
      </c>
      <c r="AA10" s="8">
        <f>W4*Y4+W5*Y5+W6*Y6+W7*Y7+W8*Y8</f>
        <v>64260</v>
      </c>
    </row>
    <row r="11" spans="1:27" ht="15.95" customHeight="1" x14ac:dyDescent="0.15">
      <c r="B11" s="20" t="s">
        <v>596</v>
      </c>
      <c r="C11" s="4" t="s">
        <v>4</v>
      </c>
      <c r="D11" s="693">
        <v>2600</v>
      </c>
      <c r="E11" s="27" t="s">
        <v>562</v>
      </c>
      <c r="H11" s="20" t="s">
        <v>116</v>
      </c>
      <c r="V11" s="64" t="s">
        <v>219</v>
      </c>
      <c r="W11" s="8">
        <f>Y5-AA12</f>
        <v>-53.109947643979055</v>
      </c>
      <c r="X11" s="64" t="s">
        <v>220</v>
      </c>
      <c r="Y11" s="8">
        <f>AA5-AA13</f>
        <v>0</v>
      </c>
      <c r="Z11" s="64" t="s">
        <v>221</v>
      </c>
      <c r="AA11" s="8">
        <f>W4*AA4+W5*AA5+W6*AA6+W7*AA7+W8*AA8</f>
        <v>22920</v>
      </c>
    </row>
    <row r="12" spans="1:27" ht="15.95" customHeight="1" x14ac:dyDescent="0.15">
      <c r="B12" s="64"/>
      <c r="C12" s="4"/>
      <c r="D12" s="125"/>
      <c r="E12" s="27"/>
      <c r="F12" s="125"/>
      <c r="I12" s="20"/>
      <c r="V12" s="64" t="s">
        <v>222</v>
      </c>
      <c r="W12" s="8">
        <f>Y6-AA12</f>
        <v>64.890052356020945</v>
      </c>
      <c r="X12" s="64" t="s">
        <v>223</v>
      </c>
      <c r="Y12" s="8">
        <f>AA6-AA13</f>
        <v>0</v>
      </c>
      <c r="Z12" s="64" t="s">
        <v>224</v>
      </c>
      <c r="AA12" s="8">
        <f>AA10/(W4+W5+W6+W7+W8)</f>
        <v>84.109947643979055</v>
      </c>
    </row>
    <row r="13" spans="1:27" ht="15.95" customHeight="1" x14ac:dyDescent="0.15">
      <c r="M13" s="140"/>
      <c r="N13" s="786"/>
      <c r="O13" s="786"/>
      <c r="V13" s="64" t="s">
        <v>225</v>
      </c>
      <c r="W13" s="8">
        <f>Y7-AA12</f>
        <v>5.890052356020945</v>
      </c>
      <c r="X13" s="64" t="s">
        <v>226</v>
      </c>
      <c r="Y13" s="8">
        <f>AA7-AA13</f>
        <v>-29</v>
      </c>
      <c r="Z13" s="64" t="s">
        <v>227</v>
      </c>
      <c r="AA13" s="8">
        <f>AA11/(W4+W5+W6+W7+W8)</f>
        <v>30</v>
      </c>
    </row>
    <row r="14" spans="1:27" ht="15.95" customHeight="1" x14ac:dyDescent="0.15">
      <c r="B14" s="20" t="s">
        <v>109</v>
      </c>
      <c r="C14" s="4" t="s">
        <v>4</v>
      </c>
      <c r="D14" s="147">
        <f>D89</f>
        <v>0</v>
      </c>
      <c r="E14" s="27" t="s">
        <v>618</v>
      </c>
      <c r="F14" s="20"/>
      <c r="G14" s="64" t="s">
        <v>592</v>
      </c>
      <c r="H14" s="137" t="s">
        <v>110</v>
      </c>
      <c r="I14" s="4" t="s">
        <v>4</v>
      </c>
      <c r="J14" s="92">
        <f>D130</f>
        <v>0</v>
      </c>
      <c r="K14" s="67" t="str">
        <f>IF(J14&lt;1,"O.K","N.G")</f>
        <v>O.K</v>
      </c>
      <c r="M14" s="140"/>
      <c r="N14" s="786"/>
      <c r="O14" s="786"/>
      <c r="V14" s="64" t="s">
        <v>228</v>
      </c>
      <c r="W14" s="8">
        <f>Y8-AA12</f>
        <v>5.890052356020945</v>
      </c>
      <c r="X14" s="64" t="s">
        <v>229</v>
      </c>
      <c r="Y14" s="8">
        <f>AA8-AA13</f>
        <v>29</v>
      </c>
      <c r="Z14" s="64" t="s">
        <v>230</v>
      </c>
      <c r="AA14" s="8">
        <f>((W18*Y18*Y18*Y18)/12+W4*W10*W10)+((Y16*W16*W16*W16)/12+W5*W11*W11)+((Y16*W16*W16*W16)/12+W6*W12*W12)+((W17*Y17*Y17*Y17)/12+W7*W13*W13)+((W17*Y17*Y17*Y17)/12+W8*W14*W14)</f>
        <v>1671313.4310645724</v>
      </c>
    </row>
    <row r="15" spans="1:27" ht="15.95" customHeight="1" x14ac:dyDescent="0.15">
      <c r="G15" s="64" t="s">
        <v>593</v>
      </c>
      <c r="H15" s="137" t="s">
        <v>110</v>
      </c>
      <c r="I15" s="4" t="s">
        <v>4</v>
      </c>
      <c r="J15" s="92">
        <f>D163</f>
        <v>0</v>
      </c>
      <c r="K15" s="67" t="str">
        <f>IF(J15&lt;1,"O.K","N.G")</f>
        <v>O.K</v>
      </c>
      <c r="Z15" s="64" t="s">
        <v>231</v>
      </c>
      <c r="AA15" s="8">
        <f>((Y18*W18*W18*W18)/12+W4*Y10*Y10)+((W16*Y16*Y16*Y16)/12+W5*Y11*Y11)+((W16*Y16*Y16*Y16)/12+W6*Y12*Y12)+((Y17*W17*W17*W17)/12+W7*Y13*Y13)+((Y17*W17*W17*W17)/12+W8*Y14*Y14)</f>
        <v>462398.66666666663</v>
      </c>
    </row>
    <row r="16" spans="1:27" ht="15.95" customHeight="1" x14ac:dyDescent="0.15">
      <c r="B16" s="20" t="s">
        <v>165</v>
      </c>
      <c r="C16" s="4" t="s">
        <v>4</v>
      </c>
      <c r="D16" s="63">
        <f>D91</f>
        <v>0</v>
      </c>
      <c r="E16" s="27" t="s">
        <v>562</v>
      </c>
      <c r="F16" s="20"/>
      <c r="V16" s="64" t="s">
        <v>566</v>
      </c>
      <c r="W16" s="8">
        <f>O25</f>
        <v>2</v>
      </c>
      <c r="X16" s="64" t="s">
        <v>121</v>
      </c>
      <c r="Y16" s="8">
        <f>O29</f>
        <v>56</v>
      </c>
    </row>
    <row r="17" spans="2:25" ht="15.95" customHeight="1" x14ac:dyDescent="0.15">
      <c r="B17" s="20" t="s">
        <v>588</v>
      </c>
      <c r="C17" s="4" t="s">
        <v>4</v>
      </c>
      <c r="D17" s="63">
        <f>D177</f>
        <v>22.857142857142858</v>
      </c>
      <c r="E17" s="27" t="s">
        <v>562</v>
      </c>
      <c r="H17" s="64" t="s">
        <v>112</v>
      </c>
      <c r="I17" s="4" t="s">
        <v>4</v>
      </c>
      <c r="J17" s="92">
        <f>D182</f>
        <v>0</v>
      </c>
      <c r="K17" s="67" t="str">
        <f>IF(J17&lt;1,"O.K","N.G")</f>
        <v>O.K</v>
      </c>
      <c r="V17" s="64" t="s">
        <v>565</v>
      </c>
      <c r="W17" s="8">
        <f>O26</f>
        <v>2</v>
      </c>
      <c r="X17" s="64" t="s">
        <v>567</v>
      </c>
      <c r="Y17" s="8">
        <f>O23</f>
        <v>120</v>
      </c>
    </row>
    <row r="18" spans="2:25" ht="15.95" customHeight="1" x14ac:dyDescent="0.15">
      <c r="V18" s="64" t="s">
        <v>571</v>
      </c>
      <c r="W18" s="8">
        <f>O27</f>
        <v>2</v>
      </c>
      <c r="X18" s="64" t="s">
        <v>568</v>
      </c>
      <c r="Y18" s="8">
        <f>O24</f>
        <v>30</v>
      </c>
    </row>
    <row r="19" spans="2:25" ht="15.95" customHeight="1" x14ac:dyDescent="0.15">
      <c r="B19" s="61" t="s">
        <v>122</v>
      </c>
      <c r="E19" s="33"/>
      <c r="H19" s="61" t="s">
        <v>589</v>
      </c>
      <c r="J19" s="682">
        <v>1</v>
      </c>
      <c r="N19" s="8" t="s">
        <v>578</v>
      </c>
      <c r="Q19" s="4" t="s">
        <v>65</v>
      </c>
    </row>
    <row r="20" spans="2:25" ht="15.95" customHeight="1" thickBot="1" x14ac:dyDescent="0.2">
      <c r="K20" s="65"/>
      <c r="L20" s="65"/>
      <c r="M20" s="65"/>
    </row>
    <row r="21" spans="2:25" ht="15.95" customHeight="1" thickBot="1" x14ac:dyDescent="0.2">
      <c r="B21" s="121"/>
      <c r="C21" s="122"/>
      <c r="D21" s="122"/>
      <c r="E21" s="122"/>
      <c r="F21" s="122"/>
      <c r="G21" s="122"/>
      <c r="H21" s="122"/>
      <c r="I21" s="122"/>
      <c r="J21" s="122"/>
      <c r="K21" s="123"/>
      <c r="N21" s="121" t="s">
        <v>333</v>
      </c>
      <c r="O21" s="122"/>
      <c r="P21" s="122"/>
      <c r="Q21" s="121" t="s">
        <v>334</v>
      </c>
      <c r="R21" s="122"/>
      <c r="S21" s="123"/>
    </row>
    <row r="22" spans="2:25" ht="15.95" customHeight="1" x14ac:dyDescent="0.15">
      <c r="B22" s="75"/>
      <c r="K22" s="94"/>
      <c r="N22" s="68" t="s">
        <v>57</v>
      </c>
      <c r="O22" s="687">
        <v>60</v>
      </c>
      <c r="P22" s="129" t="s">
        <v>572</v>
      </c>
      <c r="Q22" s="68" t="s">
        <v>57</v>
      </c>
      <c r="R22" s="687">
        <v>60</v>
      </c>
      <c r="S22" s="69" t="s">
        <v>572</v>
      </c>
    </row>
    <row r="23" spans="2:25" ht="15.95" customHeight="1" x14ac:dyDescent="0.15">
      <c r="B23" s="75"/>
      <c r="K23" s="94"/>
      <c r="N23" s="55" t="s">
        <v>244</v>
      </c>
      <c r="O23" s="688">
        <v>120</v>
      </c>
      <c r="P23" s="27" t="s">
        <v>572</v>
      </c>
      <c r="Q23" s="55" t="s">
        <v>244</v>
      </c>
      <c r="R23" s="688">
        <v>120</v>
      </c>
      <c r="S23" s="70" t="s">
        <v>572</v>
      </c>
    </row>
    <row r="24" spans="2:25" ht="15.95" customHeight="1" x14ac:dyDescent="0.15">
      <c r="B24" s="75"/>
      <c r="K24" s="94"/>
      <c r="N24" s="55" t="s">
        <v>249</v>
      </c>
      <c r="O24" s="688">
        <v>30</v>
      </c>
      <c r="P24" s="27" t="s">
        <v>572</v>
      </c>
      <c r="Q24" s="75"/>
      <c r="R24" s="689"/>
      <c r="S24" s="94"/>
    </row>
    <row r="25" spans="2:25" ht="15.95" customHeight="1" x14ac:dyDescent="0.15">
      <c r="B25" s="75"/>
      <c r="K25" s="94"/>
      <c r="N25" s="55" t="s">
        <v>118</v>
      </c>
      <c r="O25" s="688">
        <v>2</v>
      </c>
      <c r="P25" s="27" t="s">
        <v>572</v>
      </c>
      <c r="Q25" s="55" t="s">
        <v>118</v>
      </c>
      <c r="R25" s="688">
        <v>2</v>
      </c>
      <c r="S25" s="70" t="s">
        <v>572</v>
      </c>
    </row>
    <row r="26" spans="2:25" ht="15.95" customHeight="1" x14ac:dyDescent="0.15">
      <c r="B26" s="75"/>
      <c r="K26" s="94"/>
      <c r="N26" s="55" t="s">
        <v>570</v>
      </c>
      <c r="O26" s="688">
        <v>2</v>
      </c>
      <c r="P26" s="27" t="s">
        <v>572</v>
      </c>
      <c r="Q26" s="55" t="s">
        <v>119</v>
      </c>
      <c r="R26" s="690">
        <v>2</v>
      </c>
      <c r="S26" s="70" t="s">
        <v>572</v>
      </c>
    </row>
    <row r="27" spans="2:25" ht="15.95" customHeight="1" thickBot="1" x14ac:dyDescent="0.2">
      <c r="B27" s="75"/>
      <c r="K27" s="94"/>
      <c r="N27" s="55" t="s">
        <v>237</v>
      </c>
      <c r="O27" s="688">
        <v>2</v>
      </c>
      <c r="P27" s="27" t="s">
        <v>572</v>
      </c>
      <c r="Q27" s="75"/>
      <c r="R27" s="689"/>
      <c r="S27" s="94"/>
    </row>
    <row r="28" spans="2:25" ht="15.95" customHeight="1" x14ac:dyDescent="0.15">
      <c r="B28" s="75"/>
      <c r="K28" s="94"/>
      <c r="N28" s="68" t="s">
        <v>241</v>
      </c>
      <c r="O28" s="126">
        <f>O23+O24</f>
        <v>150</v>
      </c>
      <c r="P28" s="69" t="s">
        <v>562</v>
      </c>
      <c r="Q28" s="75"/>
      <c r="R28" s="689"/>
      <c r="S28" s="94"/>
    </row>
    <row r="29" spans="2:25" ht="15.95" customHeight="1" x14ac:dyDescent="0.15">
      <c r="B29" s="75"/>
      <c r="K29" s="94"/>
      <c r="N29" s="55" t="s">
        <v>121</v>
      </c>
      <c r="O29" s="7">
        <f>O22-2*O26</f>
        <v>56</v>
      </c>
      <c r="P29" s="27" t="s">
        <v>562</v>
      </c>
      <c r="Q29" s="75"/>
      <c r="R29" s="689"/>
      <c r="S29" s="94"/>
    </row>
    <row r="30" spans="2:25" ht="15.95" customHeight="1" x14ac:dyDescent="0.15">
      <c r="B30" s="75"/>
      <c r="K30" s="94"/>
      <c r="N30" s="55" t="s">
        <v>238</v>
      </c>
      <c r="O30" s="7">
        <f>AA14</f>
        <v>1671313.4310645724</v>
      </c>
      <c r="P30" s="27" t="s">
        <v>573</v>
      </c>
      <c r="Q30" s="55" t="s">
        <v>238</v>
      </c>
      <c r="R30" s="688">
        <v>3779510</v>
      </c>
      <c r="S30" s="70" t="s">
        <v>573</v>
      </c>
    </row>
    <row r="31" spans="2:25" ht="15.95" customHeight="1" x14ac:dyDescent="0.15">
      <c r="B31" s="75"/>
      <c r="K31" s="94"/>
      <c r="N31" s="55" t="s">
        <v>239</v>
      </c>
      <c r="O31" s="7">
        <f>AA15</f>
        <v>462398.66666666663</v>
      </c>
      <c r="P31" s="27" t="s">
        <v>573</v>
      </c>
      <c r="Q31" s="55" t="s">
        <v>239</v>
      </c>
      <c r="R31" s="688">
        <v>652452</v>
      </c>
      <c r="S31" s="70" t="s">
        <v>573</v>
      </c>
    </row>
    <row r="32" spans="2:25" ht="15.95" customHeight="1" x14ac:dyDescent="0.15">
      <c r="B32" s="75"/>
      <c r="K32" s="94"/>
      <c r="N32" s="55" t="s">
        <v>1092</v>
      </c>
      <c r="O32" s="7">
        <f>AA13</f>
        <v>30</v>
      </c>
      <c r="P32" s="27" t="s">
        <v>562</v>
      </c>
      <c r="Q32" s="55" t="s">
        <v>1092</v>
      </c>
      <c r="R32" s="688">
        <v>30</v>
      </c>
      <c r="S32" s="70" t="s">
        <v>572</v>
      </c>
    </row>
    <row r="33" spans="1:27" ht="15.95" customHeight="1" x14ac:dyDescent="0.15">
      <c r="B33" s="55" t="s">
        <v>241</v>
      </c>
      <c r="C33" s="4" t="s">
        <v>4</v>
      </c>
      <c r="D33" s="130">
        <f>IF($J$19=1, O28,Q19)</f>
        <v>150</v>
      </c>
      <c r="E33" s="27" t="s">
        <v>572</v>
      </c>
      <c r="F33" s="691">
        <v>100</v>
      </c>
      <c r="G33" s="447" t="s">
        <v>572</v>
      </c>
      <c r="K33" s="94"/>
      <c r="N33" s="55" t="s">
        <v>1093</v>
      </c>
      <c r="O33" s="7">
        <f>AA12</f>
        <v>84.109947643979055</v>
      </c>
      <c r="P33" s="27" t="s">
        <v>562</v>
      </c>
      <c r="Q33" s="55" t="s">
        <v>1093</v>
      </c>
      <c r="R33" s="688">
        <v>95.14</v>
      </c>
      <c r="S33" s="70" t="s">
        <v>572</v>
      </c>
    </row>
    <row r="34" spans="1:27" ht="15.95" customHeight="1" x14ac:dyDescent="0.15">
      <c r="B34" s="55" t="s">
        <v>57</v>
      </c>
      <c r="C34" s="4" t="s">
        <v>4</v>
      </c>
      <c r="D34" s="130">
        <f>IF($J$19=1, O22,Q19)</f>
        <v>60</v>
      </c>
      <c r="E34" s="27" t="s">
        <v>572</v>
      </c>
      <c r="F34" s="691">
        <v>50</v>
      </c>
      <c r="G34" s="447" t="s">
        <v>572</v>
      </c>
      <c r="K34" s="94"/>
      <c r="N34" s="55" t="s">
        <v>240</v>
      </c>
      <c r="O34" s="7">
        <f>O30/O33</f>
        <v>19870.579852681814</v>
      </c>
      <c r="P34" s="27" t="s">
        <v>574</v>
      </c>
      <c r="Q34" s="55" t="s">
        <v>240</v>
      </c>
      <c r="R34" s="688">
        <f>R30/R33</f>
        <v>39725.772545722095</v>
      </c>
      <c r="S34" s="70" t="s">
        <v>574</v>
      </c>
    </row>
    <row r="35" spans="1:27" ht="15.95" customHeight="1" thickBot="1" x14ac:dyDescent="0.2">
      <c r="B35" s="55" t="s">
        <v>244</v>
      </c>
      <c r="C35" s="4" t="s">
        <v>4</v>
      </c>
      <c r="D35" s="130">
        <f>IF($J$19=1, O23,Q19)</f>
        <v>120</v>
      </c>
      <c r="E35" s="27" t="s">
        <v>572</v>
      </c>
      <c r="F35" s="135" t="s">
        <v>65</v>
      </c>
      <c r="G35" s="447" t="s">
        <v>572</v>
      </c>
      <c r="K35" s="94"/>
      <c r="N35" s="71" t="s">
        <v>395</v>
      </c>
      <c r="O35" s="127">
        <f>(2*O26*O25*(O22-O26)^2*(O23-O25)^2)/((O22*O26)+(O23*O25)-O26^2-O25^2)</f>
        <v>1064553.0909090908</v>
      </c>
      <c r="P35" s="128" t="s">
        <v>574</v>
      </c>
      <c r="Q35" s="71" t="s">
        <v>350</v>
      </c>
      <c r="R35" s="127">
        <f>(2*R26*R25*(R22-R26)^2*(R23-R25)^2)/((R22*R26)+(R23*R25)-R26^2-R25^2)</f>
        <v>1064553.0909090908</v>
      </c>
      <c r="S35" s="72" t="s">
        <v>575</v>
      </c>
    </row>
    <row r="36" spans="1:27" ht="15.95" customHeight="1" x14ac:dyDescent="0.15">
      <c r="B36" s="55" t="s">
        <v>244</v>
      </c>
      <c r="C36" s="4" t="s">
        <v>4</v>
      </c>
      <c r="D36" s="130">
        <f>IF($J$19=1, O24,Q19)</f>
        <v>30</v>
      </c>
      <c r="E36" s="27" t="s">
        <v>572</v>
      </c>
      <c r="F36" s="135" t="s">
        <v>65</v>
      </c>
      <c r="G36" s="447" t="s">
        <v>572</v>
      </c>
      <c r="H36" s="34"/>
      <c r="K36" s="94"/>
    </row>
    <row r="37" spans="1:27" ht="15.95" customHeight="1" x14ac:dyDescent="0.15">
      <c r="B37" s="55" t="s">
        <v>118</v>
      </c>
      <c r="C37" s="4" t="s">
        <v>4</v>
      </c>
      <c r="D37" s="146">
        <f>IF($J$19=1, O25,Q19)</f>
        <v>2</v>
      </c>
      <c r="E37" s="27" t="s">
        <v>572</v>
      </c>
      <c r="F37" s="691">
        <v>2</v>
      </c>
      <c r="G37" s="447" t="s">
        <v>572</v>
      </c>
      <c r="H37" s="34"/>
      <c r="K37" s="94"/>
      <c r="N37" s="8" t="s">
        <v>250</v>
      </c>
    </row>
    <row r="38" spans="1:27" ht="15.95" customHeight="1" thickBot="1" x14ac:dyDescent="0.2">
      <c r="B38" s="55" t="s">
        <v>570</v>
      </c>
      <c r="C38" s="4" t="s">
        <v>4</v>
      </c>
      <c r="D38" s="130">
        <f>IF($J$19=1, O26,Q19)</f>
        <v>2</v>
      </c>
      <c r="E38" s="27" t="s">
        <v>572</v>
      </c>
      <c r="F38" s="136">
        <f>F37</f>
        <v>2</v>
      </c>
      <c r="G38" s="447" t="s">
        <v>572</v>
      </c>
      <c r="K38" s="94"/>
      <c r="L38" s="65"/>
      <c r="M38" s="65"/>
      <c r="N38" s="8" t="s">
        <v>564</v>
      </c>
      <c r="S38" s="53"/>
      <c r="T38" s="54"/>
    </row>
    <row r="39" spans="1:27" ht="15.95" customHeight="1" x14ac:dyDescent="0.15">
      <c r="B39" s="55" t="s">
        <v>237</v>
      </c>
      <c r="C39" s="4" t="s">
        <v>4</v>
      </c>
      <c r="D39" s="130">
        <f>IF($J$19=1, O27,Q19)</f>
        <v>2</v>
      </c>
      <c r="E39" s="27" t="s">
        <v>572</v>
      </c>
      <c r="F39" s="135" t="s">
        <v>65</v>
      </c>
      <c r="G39" s="447" t="s">
        <v>572</v>
      </c>
      <c r="K39" s="70"/>
      <c r="L39" s="65"/>
      <c r="M39" s="65"/>
      <c r="N39" s="68" t="s">
        <v>238</v>
      </c>
      <c r="O39" s="126">
        <f t="shared" ref="O39:O44" si="0">IF($J$19=1, O30,R30)</f>
        <v>1671313.4310645724</v>
      </c>
      <c r="P39" s="69" t="s">
        <v>573</v>
      </c>
      <c r="Q39" s="56" t="s">
        <v>396</v>
      </c>
      <c r="R39" s="126">
        <f>IF($J$19=1, O29,R22-R26*2)</f>
        <v>56</v>
      </c>
      <c r="S39" s="69" t="s">
        <v>572</v>
      </c>
      <c r="T39" s="28"/>
      <c r="U39" s="28"/>
    </row>
    <row r="40" spans="1:27" ht="15.95" customHeight="1" x14ac:dyDescent="0.15">
      <c r="B40" s="55" t="s">
        <v>407</v>
      </c>
      <c r="C40" s="4" t="s">
        <v>4</v>
      </c>
      <c r="D40" s="142">
        <f t="shared" ref="D40:D45" si="1">O39</f>
        <v>1671313.4310645724</v>
      </c>
      <c r="E40" s="27" t="s">
        <v>573</v>
      </c>
      <c r="F40" s="144">
        <f>(F34*F33^3-(F34-2*F37)*(F33-2*F38)^3)/12</f>
        <v>775178.66666666663</v>
      </c>
      <c r="G40" s="447" t="s">
        <v>573</v>
      </c>
      <c r="H40" s="416" t="s">
        <v>590</v>
      </c>
      <c r="I40" s="4" t="s">
        <v>4</v>
      </c>
      <c r="J40" s="142">
        <f>D40+F40*3</f>
        <v>3996849.4310645722</v>
      </c>
      <c r="K40" s="70" t="s">
        <v>573</v>
      </c>
      <c r="L40" s="65"/>
      <c r="M40" s="65"/>
      <c r="N40" s="55" t="s">
        <v>239</v>
      </c>
      <c r="O40" s="7">
        <f t="shared" si="0"/>
        <v>462398.66666666663</v>
      </c>
      <c r="P40" s="27" t="s">
        <v>573</v>
      </c>
      <c r="Q40" s="57" t="s">
        <v>397</v>
      </c>
      <c r="R40" s="7">
        <f>IF($J$19=1, O23-2*O25,R23-R25*2)</f>
        <v>116</v>
      </c>
      <c r="S40" s="70" t="s">
        <v>572</v>
      </c>
      <c r="U40" s="28"/>
    </row>
    <row r="41" spans="1:27" ht="15.95" customHeight="1" x14ac:dyDescent="0.15">
      <c r="B41" s="55" t="s">
        <v>408</v>
      </c>
      <c r="C41" s="4" t="s">
        <v>4</v>
      </c>
      <c r="D41" s="142">
        <f t="shared" si="1"/>
        <v>462398.66666666663</v>
      </c>
      <c r="E41" s="27" t="s">
        <v>573</v>
      </c>
      <c r="F41" s="144">
        <f>(F33*F34^3-(F33-2*F38)*(F34-2*F37)^3)/12</f>
        <v>262978.66666666669</v>
      </c>
      <c r="G41" s="447" t="s">
        <v>573</v>
      </c>
      <c r="H41" s="416" t="s">
        <v>591</v>
      </c>
      <c r="I41" s="4" t="s">
        <v>4</v>
      </c>
      <c r="J41" s="142">
        <f>D41+F41*3</f>
        <v>1251334.6666666665</v>
      </c>
      <c r="K41" s="70" t="s">
        <v>573</v>
      </c>
      <c r="L41" s="65"/>
      <c r="M41" s="65"/>
      <c r="N41" s="55" t="s">
        <v>1092</v>
      </c>
      <c r="O41" s="7">
        <f t="shared" si="0"/>
        <v>30</v>
      </c>
      <c r="P41" s="27" t="s">
        <v>562</v>
      </c>
      <c r="Q41" s="57" t="s">
        <v>398</v>
      </c>
      <c r="R41" s="7">
        <f>IF($J$19=1, O25,R25)</f>
        <v>2</v>
      </c>
      <c r="S41" s="70" t="s">
        <v>572</v>
      </c>
      <c r="T41" s="74"/>
      <c r="U41" s="28"/>
    </row>
    <row r="42" spans="1:27" ht="15.95" customHeight="1" x14ac:dyDescent="0.15">
      <c r="B42" s="55" t="s">
        <v>1092</v>
      </c>
      <c r="C42" s="4" t="s">
        <v>4</v>
      </c>
      <c r="D42" s="148">
        <f t="shared" si="1"/>
        <v>30</v>
      </c>
      <c r="E42" s="27" t="s">
        <v>562</v>
      </c>
      <c r="F42" s="154">
        <f>F34/2</f>
        <v>25</v>
      </c>
      <c r="G42" s="447" t="s">
        <v>562</v>
      </c>
      <c r="K42" s="94"/>
      <c r="L42" s="65"/>
      <c r="M42" s="65"/>
      <c r="N42" s="55" t="s">
        <v>1093</v>
      </c>
      <c r="O42" s="7">
        <f t="shared" si="0"/>
        <v>84.109947643979055</v>
      </c>
      <c r="P42" s="27" t="s">
        <v>562</v>
      </c>
      <c r="Q42" s="57" t="s">
        <v>399</v>
      </c>
      <c r="R42" s="133">
        <f>IF($J$19=1, O26,R26)</f>
        <v>2</v>
      </c>
      <c r="S42" s="70" t="s">
        <v>572</v>
      </c>
      <c r="T42" s="74"/>
      <c r="U42" s="28"/>
    </row>
    <row r="43" spans="1:27" ht="15.95" customHeight="1" x14ac:dyDescent="0.15">
      <c r="B43" s="55" t="s">
        <v>1093</v>
      </c>
      <c r="C43" s="4" t="s">
        <v>4</v>
      </c>
      <c r="D43" s="148">
        <f t="shared" si="1"/>
        <v>84.109947643979055</v>
      </c>
      <c r="E43" s="27" t="s">
        <v>562</v>
      </c>
      <c r="F43" s="154">
        <f>F33/2</f>
        <v>50</v>
      </c>
      <c r="G43" s="447" t="s">
        <v>562</v>
      </c>
      <c r="H43" s="416" t="s">
        <v>455</v>
      </c>
      <c r="I43" s="4" t="s">
        <v>9</v>
      </c>
      <c r="J43" s="92">
        <f>D40/J40</f>
        <v>0.41815771644402761</v>
      </c>
      <c r="K43" s="94"/>
      <c r="L43" s="65"/>
      <c r="M43" s="65"/>
      <c r="N43" s="55" t="s">
        <v>240</v>
      </c>
      <c r="O43" s="7">
        <f t="shared" si="0"/>
        <v>19870.579852681814</v>
      </c>
      <c r="P43" s="27" t="s">
        <v>574</v>
      </c>
      <c r="Q43" s="75"/>
      <c r="R43" s="65"/>
      <c r="S43" s="76"/>
      <c r="T43" s="74"/>
      <c r="U43" s="28"/>
    </row>
    <row r="44" spans="1:27" ht="15.95" customHeight="1" thickBot="1" x14ac:dyDescent="0.2">
      <c r="B44" s="55" t="s">
        <v>406</v>
      </c>
      <c r="C44" s="4" t="s">
        <v>4</v>
      </c>
      <c r="D44" s="142">
        <f t="shared" si="1"/>
        <v>19870.579852681814</v>
      </c>
      <c r="E44" s="27" t="s">
        <v>574</v>
      </c>
      <c r="F44" s="145">
        <f>F40/F43</f>
        <v>15503.573333333332</v>
      </c>
      <c r="G44" s="141" t="s">
        <v>574</v>
      </c>
      <c r="H44" s="446" t="s">
        <v>456</v>
      </c>
      <c r="I44" s="17" t="s">
        <v>9</v>
      </c>
      <c r="J44" s="692">
        <f>1-J43</f>
        <v>0.58184228355597245</v>
      </c>
      <c r="K44" s="124"/>
      <c r="L44" s="65"/>
      <c r="M44" s="65"/>
      <c r="N44" s="71" t="s">
        <v>395</v>
      </c>
      <c r="O44" s="127">
        <f t="shared" si="0"/>
        <v>1064553.0909090908</v>
      </c>
      <c r="P44" s="128" t="s">
        <v>574</v>
      </c>
      <c r="Q44" s="78"/>
      <c r="R44" s="77"/>
      <c r="S44" s="79"/>
      <c r="T44" s="74"/>
      <c r="U44" s="28"/>
    </row>
    <row r="45" spans="1:27" s="22" customFormat="1" ht="15.95" customHeight="1" thickBot="1" x14ac:dyDescent="0.2">
      <c r="A45" s="8"/>
      <c r="B45" s="71" t="s">
        <v>395</v>
      </c>
      <c r="C45" s="17" t="s">
        <v>4</v>
      </c>
      <c r="D45" s="143">
        <f t="shared" si="1"/>
        <v>1064553.0909090908</v>
      </c>
      <c r="E45" s="72" t="s">
        <v>574</v>
      </c>
      <c r="F45" s="73"/>
      <c r="G45" s="65"/>
      <c r="H45" s="65"/>
      <c r="I45" s="8"/>
      <c r="J45" s="8"/>
      <c r="K45" s="65"/>
      <c r="L45" s="65"/>
      <c r="M45" s="65"/>
      <c r="N45" s="8"/>
      <c r="O45" s="8"/>
      <c r="P45" s="8"/>
      <c r="Q45" s="8"/>
      <c r="R45" s="8"/>
      <c r="S45" s="8"/>
      <c r="T45" s="8"/>
      <c r="U45" s="8"/>
      <c r="W45" s="8"/>
      <c r="Y45" s="8"/>
      <c r="AA45" s="8"/>
    </row>
    <row r="46" spans="1:27" s="22" customFormat="1" ht="15.95" customHeight="1" x14ac:dyDescent="0.15">
      <c r="A46" s="8"/>
      <c r="B46" s="796" t="s">
        <v>1217</v>
      </c>
      <c r="C46" s="796"/>
      <c r="D46" s="796"/>
      <c r="E46" s="796"/>
      <c r="F46" s="796"/>
      <c r="G46" s="796"/>
      <c r="H46" s="796"/>
      <c r="I46" s="796"/>
      <c r="J46" s="796"/>
      <c r="K46" s="796"/>
      <c r="L46" s="65"/>
      <c r="M46" s="65"/>
      <c r="N46" s="8"/>
      <c r="O46" s="8"/>
      <c r="P46" s="8"/>
      <c r="Q46" s="8"/>
      <c r="R46" s="8"/>
      <c r="S46" s="8"/>
      <c r="T46" s="8"/>
      <c r="U46" s="8"/>
      <c r="W46" s="8"/>
      <c r="Y46" s="8"/>
      <c r="AA46" s="8"/>
    </row>
    <row r="47" spans="1:27" s="31" customFormat="1" ht="15.95" hidden="1" customHeight="1" x14ac:dyDescent="0.15">
      <c r="B47" s="61" t="s">
        <v>128</v>
      </c>
    </row>
    <row r="48" spans="1:27" s="31" customFormat="1" ht="15.95" hidden="1" customHeight="1" x14ac:dyDescent="0.15"/>
    <row r="49" spans="1:9" s="31" customFormat="1" ht="15.95" hidden="1" customHeight="1" x14ac:dyDescent="0.15">
      <c r="B49" s="30"/>
    </row>
    <row r="50" spans="1:9" s="31" customFormat="1" ht="15.95" hidden="1" customHeight="1" x14ac:dyDescent="0.15">
      <c r="A50" s="32"/>
    </row>
    <row r="51" spans="1:9" s="31" customFormat="1" ht="15.95" hidden="1" customHeight="1" x14ac:dyDescent="0.15">
      <c r="A51" s="32"/>
    </row>
    <row r="52" spans="1:9" s="31" customFormat="1" ht="15.95" hidden="1" customHeight="1" x14ac:dyDescent="0.15">
      <c r="A52" s="32"/>
    </row>
    <row r="53" spans="1:9" s="31" customFormat="1" ht="15.95" hidden="1" customHeight="1" x14ac:dyDescent="0.15">
      <c r="A53" s="32"/>
    </row>
    <row r="54" spans="1:9" s="31" customFormat="1" ht="15.95" hidden="1" customHeight="1" x14ac:dyDescent="0.15">
      <c r="A54" s="32"/>
    </row>
    <row r="55" spans="1:9" s="31" customFormat="1" ht="15.95" hidden="1" customHeight="1" x14ac:dyDescent="0.15">
      <c r="A55" s="32"/>
    </row>
    <row r="56" spans="1:9" s="31" customFormat="1" ht="15.95" hidden="1" customHeight="1" x14ac:dyDescent="0.15">
      <c r="A56" s="32"/>
    </row>
    <row r="57" spans="1:9" s="31" customFormat="1" ht="15.95" hidden="1" customHeight="1" x14ac:dyDescent="0.15">
      <c r="A57" s="32"/>
    </row>
    <row r="58" spans="1:9" s="31" customFormat="1" ht="15.95" hidden="1" customHeight="1" x14ac:dyDescent="0.15">
      <c r="A58" s="32"/>
      <c r="D58" s="20"/>
    </row>
    <row r="59" spans="1:9" s="31" customFormat="1" ht="15.95" hidden="1" customHeight="1" x14ac:dyDescent="0.15">
      <c r="B59" s="8" t="s">
        <v>135</v>
      </c>
    </row>
    <row r="60" spans="1:9" s="31" customFormat="1" ht="15.95" hidden="1" customHeight="1" x14ac:dyDescent="0.15"/>
    <row r="61" spans="1:9" s="31" customFormat="1" ht="15.95" hidden="1" customHeight="1" x14ac:dyDescent="0.15">
      <c r="B61" s="20" t="s">
        <v>7</v>
      </c>
      <c r="C61" s="4" t="s">
        <v>4</v>
      </c>
      <c r="D61" s="20" t="s">
        <v>419</v>
      </c>
    </row>
    <row r="62" spans="1:9" s="31" customFormat="1" ht="15.95" hidden="1" customHeight="1" x14ac:dyDescent="0.15">
      <c r="B62" s="82" t="s">
        <v>8</v>
      </c>
      <c r="C62" s="4" t="s">
        <v>4</v>
      </c>
      <c r="D62" s="20" t="s">
        <v>420</v>
      </c>
      <c r="G62" s="4"/>
      <c r="H62" s="20"/>
    </row>
    <row r="63" spans="1:9" s="31" customFormat="1" ht="15.95" hidden="1" customHeight="1" x14ac:dyDescent="0.15">
      <c r="B63" s="20" t="s">
        <v>129</v>
      </c>
      <c r="C63" s="4" t="s">
        <v>4</v>
      </c>
      <c r="D63" s="20" t="s">
        <v>421</v>
      </c>
      <c r="G63" s="4"/>
    </row>
    <row r="64" spans="1:9" s="31" customFormat="1" ht="15.95" hidden="1" customHeight="1" x14ac:dyDescent="0.15">
      <c r="B64" s="20" t="s">
        <v>130</v>
      </c>
      <c r="C64" s="4" t="s">
        <v>4</v>
      </c>
      <c r="D64" s="20" t="s">
        <v>422</v>
      </c>
      <c r="G64" s="4"/>
      <c r="H64" s="4"/>
      <c r="I64" s="20"/>
    </row>
    <row r="65" spans="1:13" s="31" customFormat="1" ht="15.95" hidden="1" customHeight="1" x14ac:dyDescent="0.15">
      <c r="B65" s="20" t="s">
        <v>418</v>
      </c>
      <c r="C65" s="4" t="s">
        <v>4</v>
      </c>
      <c r="D65" s="20" t="s">
        <v>428</v>
      </c>
      <c r="G65" s="4" t="s">
        <v>9</v>
      </c>
      <c r="H65" s="20" t="s">
        <v>146</v>
      </c>
    </row>
    <row r="66" spans="1:13" s="31" customFormat="1" ht="15.95" hidden="1" customHeight="1" x14ac:dyDescent="0.15">
      <c r="B66" s="20" t="s">
        <v>131</v>
      </c>
      <c r="C66" s="4" t="s">
        <v>4</v>
      </c>
      <c r="D66" s="20" t="s">
        <v>423</v>
      </c>
      <c r="F66" s="32"/>
      <c r="G66" s="4" t="s">
        <v>9</v>
      </c>
      <c r="H66" s="20" t="s">
        <v>147</v>
      </c>
    </row>
    <row r="67" spans="1:13" s="31" customFormat="1" ht="15.95" hidden="1" customHeight="1" x14ac:dyDescent="0.15">
      <c r="B67" s="62" t="s">
        <v>165</v>
      </c>
      <c r="C67" s="4" t="s">
        <v>4</v>
      </c>
      <c r="D67" s="20" t="s">
        <v>429</v>
      </c>
      <c r="F67" s="32"/>
      <c r="H67" s="20" t="s">
        <v>148</v>
      </c>
    </row>
    <row r="68" spans="1:13" s="31" customFormat="1" ht="15.95" hidden="1" customHeight="1" x14ac:dyDescent="0.15"/>
    <row r="69" spans="1:13" s="31" customFormat="1" ht="15.95" hidden="1" customHeight="1" x14ac:dyDescent="0.15">
      <c r="A69" s="32"/>
      <c r="B69" s="8" t="s">
        <v>136</v>
      </c>
    </row>
    <row r="70" spans="1:13" s="31" customFormat="1" ht="15.95" hidden="1" customHeight="1" x14ac:dyDescent="0.15">
      <c r="H70" s="20"/>
    </row>
    <row r="71" spans="1:13" s="31" customFormat="1" ht="15.95" hidden="1" customHeight="1" x14ac:dyDescent="0.15">
      <c r="B71" s="62" t="s">
        <v>424</v>
      </c>
      <c r="C71" s="21" t="s">
        <v>4</v>
      </c>
      <c r="D71" s="63">
        <f>ABS(D5/1000*(D7+D8)/2)</f>
        <v>0</v>
      </c>
      <c r="E71" s="8" t="s">
        <v>581</v>
      </c>
      <c r="F71" s="8"/>
      <c r="G71" s="4" t="s">
        <v>9</v>
      </c>
      <c r="H71" s="20" t="s">
        <v>430</v>
      </c>
    </row>
    <row r="72" spans="1:13" s="31" customFormat="1" ht="15.95" hidden="1" customHeight="1" x14ac:dyDescent="0.15">
      <c r="B72" s="62" t="s">
        <v>425</v>
      </c>
      <c r="C72" s="21" t="s">
        <v>4</v>
      </c>
      <c r="D72" s="63">
        <f>D71</f>
        <v>0</v>
      </c>
      <c r="E72" s="8" t="s">
        <v>581</v>
      </c>
      <c r="F72" s="8"/>
      <c r="G72" s="4" t="s">
        <v>9</v>
      </c>
      <c r="H72" s="20" t="s">
        <v>430</v>
      </c>
      <c r="M72" s="20"/>
    </row>
    <row r="73" spans="1:13" s="31" customFormat="1" ht="15.95" hidden="1" customHeight="1" x14ac:dyDescent="0.15">
      <c r="B73" s="82" t="s">
        <v>426</v>
      </c>
      <c r="C73" s="21" t="s">
        <v>4</v>
      </c>
      <c r="D73" s="147">
        <f>D9</f>
        <v>1000</v>
      </c>
      <c r="E73" s="27" t="s">
        <v>562</v>
      </c>
      <c r="F73" s="8"/>
      <c r="G73" s="4" t="s">
        <v>9</v>
      </c>
      <c r="H73" s="20" t="s">
        <v>450</v>
      </c>
      <c r="M73" s="20"/>
    </row>
    <row r="74" spans="1:13" s="31" customFormat="1" ht="15.95" hidden="1" customHeight="1" x14ac:dyDescent="0.15">
      <c r="B74" s="82" t="s">
        <v>427</v>
      </c>
      <c r="C74" s="21" t="s">
        <v>4</v>
      </c>
      <c r="D74" s="147">
        <f>D10</f>
        <v>4000</v>
      </c>
      <c r="E74" s="27" t="s">
        <v>562</v>
      </c>
      <c r="F74" s="8"/>
      <c r="G74" s="4" t="s">
        <v>9</v>
      </c>
      <c r="H74" s="20" t="s">
        <v>451</v>
      </c>
      <c r="J74" s="36"/>
      <c r="K74" s="21"/>
      <c r="L74" s="59"/>
      <c r="M74" s="32"/>
    </row>
    <row r="75" spans="1:13" s="31" customFormat="1" ht="15.95" hidden="1" customHeight="1" x14ac:dyDescent="0.15">
      <c r="B75" s="20" t="s">
        <v>7</v>
      </c>
      <c r="C75" s="21" t="s">
        <v>4</v>
      </c>
      <c r="D75" s="147">
        <f>D71*D9+D72*D10</f>
        <v>0</v>
      </c>
      <c r="E75" s="8" t="s">
        <v>599</v>
      </c>
      <c r="F75" s="8"/>
      <c r="G75" s="4"/>
      <c r="H75" s="20"/>
    </row>
    <row r="76" spans="1:13" s="31" customFormat="1" ht="15.95" hidden="1" customHeight="1" x14ac:dyDescent="0.15">
      <c r="B76" s="20" t="s">
        <v>8</v>
      </c>
      <c r="C76" s="21" t="s">
        <v>4</v>
      </c>
      <c r="D76" s="18">
        <f>(D78*D73)/(D78*D74)</f>
        <v>0.25</v>
      </c>
      <c r="E76" s="8"/>
      <c r="F76" s="8"/>
      <c r="G76" s="4"/>
    </row>
    <row r="77" spans="1:13" s="31" customFormat="1" ht="15.95" hidden="1" customHeight="1" x14ac:dyDescent="0.15">
      <c r="B77" s="62" t="s">
        <v>5</v>
      </c>
      <c r="C77" s="21" t="s">
        <v>4</v>
      </c>
      <c r="D77" s="147">
        <f>D6</f>
        <v>69637.021649999995</v>
      </c>
      <c r="E77" s="27" t="s">
        <v>561</v>
      </c>
      <c r="G77" s="4" t="s">
        <v>9</v>
      </c>
      <c r="H77" s="20" t="s">
        <v>140</v>
      </c>
    </row>
    <row r="78" spans="1:13" s="31" customFormat="1" ht="15.95" hidden="1" customHeight="1" x14ac:dyDescent="0.15">
      <c r="B78" s="6" t="s">
        <v>453</v>
      </c>
      <c r="C78" s="21" t="s">
        <v>4</v>
      </c>
      <c r="D78" s="147">
        <f>J40</f>
        <v>3996849.4310645722</v>
      </c>
      <c r="E78" s="8" t="s">
        <v>598</v>
      </c>
      <c r="G78" s="4" t="s">
        <v>9</v>
      </c>
      <c r="H78" s="20" t="s">
        <v>454</v>
      </c>
    </row>
    <row r="79" spans="1:13" s="31" customFormat="1" ht="15.95" hidden="1" customHeight="1" x14ac:dyDescent="0.15">
      <c r="F79" s="31" t="s">
        <v>0</v>
      </c>
    </row>
    <row r="80" spans="1:13" s="31" customFormat="1" ht="15.95" hidden="1" customHeight="1" x14ac:dyDescent="0.15">
      <c r="A80" s="107"/>
      <c r="B80" s="8" t="s">
        <v>149</v>
      </c>
    </row>
    <row r="81" spans="1:26" s="31" customFormat="1" ht="15.95" hidden="1" customHeight="1" x14ac:dyDescent="0.15"/>
    <row r="82" spans="1:26" s="31" customFormat="1" ht="15.95" hidden="1" customHeight="1" x14ac:dyDescent="0.15">
      <c r="A82" s="31" t="s">
        <v>1</v>
      </c>
      <c r="B82" s="20" t="s">
        <v>129</v>
      </c>
      <c r="C82" s="21" t="s">
        <v>4</v>
      </c>
      <c r="D82" s="20" t="s">
        <v>421</v>
      </c>
      <c r="H82" s="30"/>
    </row>
    <row r="83" spans="1:26" s="31" customFormat="1" ht="15.95" hidden="1" customHeight="1" x14ac:dyDescent="0.15">
      <c r="B83" s="32"/>
      <c r="C83" s="21" t="s">
        <v>4</v>
      </c>
      <c r="D83" s="147">
        <f>(D71*D73)/2-(D76*D71*D73^2+D72*D74^2)/(8*(1+D76)*D73)</f>
        <v>0</v>
      </c>
      <c r="E83" s="8" t="s">
        <v>599</v>
      </c>
    </row>
    <row r="84" spans="1:26" s="31" customFormat="1" ht="15.95" hidden="1" customHeight="1" x14ac:dyDescent="0.15">
      <c r="B84" s="20" t="s">
        <v>130</v>
      </c>
      <c r="C84" s="21" t="s">
        <v>4</v>
      </c>
      <c r="D84" s="20" t="s">
        <v>422</v>
      </c>
      <c r="H84" s="30"/>
    </row>
    <row r="85" spans="1:26" s="31" customFormat="1" ht="15.95" hidden="1" customHeight="1" x14ac:dyDescent="0.15">
      <c r="B85" s="32"/>
      <c r="C85" s="21" t="s">
        <v>4</v>
      </c>
      <c r="D85" s="147">
        <f>(D72*D74)/2-(D76*D71*D73^2+D72*D74^2)/(8*(1+D76)*D74)</f>
        <v>0</v>
      </c>
      <c r="E85" s="8" t="s">
        <v>599</v>
      </c>
    </row>
    <row r="86" spans="1:26" s="31" customFormat="1" ht="15.95" hidden="1" customHeight="1" x14ac:dyDescent="0.15">
      <c r="B86" s="20" t="s">
        <v>418</v>
      </c>
      <c r="C86" s="21" t="s">
        <v>4</v>
      </c>
      <c r="D86" s="20" t="s">
        <v>428</v>
      </c>
      <c r="H86" s="30"/>
    </row>
    <row r="87" spans="1:26" s="31" customFormat="1" ht="15.95" hidden="1" customHeight="1" x14ac:dyDescent="0.15">
      <c r="B87" s="32"/>
      <c r="C87" s="21" t="s">
        <v>4</v>
      </c>
      <c r="D87" s="147">
        <f>D75-D83-D85</f>
        <v>0</v>
      </c>
      <c r="E87" s="8" t="s">
        <v>599</v>
      </c>
      <c r="J87" s="27"/>
    </row>
    <row r="88" spans="1:26" s="31" customFormat="1" ht="15.95" hidden="1" customHeight="1" x14ac:dyDescent="0.15">
      <c r="B88" s="20" t="s">
        <v>131</v>
      </c>
      <c r="C88" s="21" t="s">
        <v>4</v>
      </c>
      <c r="D88" s="20" t="s">
        <v>423</v>
      </c>
      <c r="H88" s="30"/>
      <c r="J88" s="8"/>
      <c r="M88" s="2"/>
      <c r="N88" s="147"/>
      <c r="O88" s="27"/>
    </row>
    <row r="89" spans="1:26" s="31" customFormat="1" ht="15.95" hidden="1" customHeight="1" x14ac:dyDescent="0.15">
      <c r="C89" s="21" t="s">
        <v>4</v>
      </c>
      <c r="D89" s="147">
        <f>(D76*D71*D73^2+D72*D74^2)/(8*(1+D76))</f>
        <v>0</v>
      </c>
      <c r="E89" s="27" t="s">
        <v>601</v>
      </c>
      <c r="J89" s="8"/>
      <c r="M89" s="2"/>
      <c r="N89" s="414"/>
      <c r="O89" s="2"/>
    </row>
    <row r="90" spans="1:26" s="31" customFormat="1" ht="15.95" hidden="1" customHeight="1" x14ac:dyDescent="0.15">
      <c r="B90" s="62" t="s">
        <v>165</v>
      </c>
      <c r="C90" s="21" t="s">
        <v>4</v>
      </c>
      <c r="D90" s="20" t="s">
        <v>431</v>
      </c>
      <c r="H90" s="30"/>
      <c r="J90" s="27"/>
      <c r="M90" s="2"/>
      <c r="N90" s="412"/>
      <c r="O90" s="27"/>
    </row>
    <row r="91" spans="1:26" s="31" customFormat="1" ht="15.95" hidden="1" customHeight="1" x14ac:dyDescent="0.15">
      <c r="B91" s="108"/>
      <c r="C91" s="21" t="s">
        <v>4</v>
      </c>
      <c r="D91" s="63">
        <f>(5*D72*D74^4/(384*D77*D78))-(D89*D74^2/(16*D77*D78))</f>
        <v>0</v>
      </c>
      <c r="E91" s="27" t="s">
        <v>600</v>
      </c>
      <c r="M91" s="2"/>
      <c r="N91" s="414"/>
      <c r="O91" s="2"/>
    </row>
    <row r="92" spans="1:26" s="31" customFormat="1" ht="15.95" hidden="1" customHeight="1" x14ac:dyDescent="0.15">
      <c r="B92" s="108"/>
      <c r="C92" s="21"/>
    </row>
    <row r="93" spans="1:26" ht="15.95" hidden="1" customHeight="1" x14ac:dyDescent="0.15">
      <c r="A93" s="27"/>
      <c r="B93" s="61" t="s">
        <v>189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N93" s="29" t="s">
        <v>401</v>
      </c>
      <c r="O93" s="444">
        <f>G6</f>
        <v>5</v>
      </c>
      <c r="P93" s="30"/>
    </row>
    <row r="94" spans="1:26" s="31" customFormat="1" ht="15.95" hidden="1" customHeight="1" x14ac:dyDescent="0.15">
      <c r="J94" s="32"/>
      <c r="K94" s="21"/>
      <c r="L94" s="32"/>
      <c r="M94" s="32"/>
      <c r="N94" s="21"/>
      <c r="O94" s="21"/>
      <c r="P94" s="21"/>
      <c r="V94" s="36"/>
      <c r="X94" s="36"/>
      <c r="Z94" s="36"/>
    </row>
    <row r="95" spans="1:26" s="31" customFormat="1" ht="15.95" hidden="1" customHeight="1" x14ac:dyDescent="0.15">
      <c r="A95" s="8"/>
      <c r="B95" s="33" t="s">
        <v>335</v>
      </c>
      <c r="C95" s="33"/>
      <c r="G95" s="34" t="s">
        <v>336</v>
      </c>
      <c r="H95" s="85"/>
      <c r="I95" s="27"/>
      <c r="J95" s="86"/>
      <c r="K95" s="35"/>
      <c r="L95" s="8"/>
      <c r="M95" s="8"/>
      <c r="N95" s="36" t="s">
        <v>337</v>
      </c>
      <c r="O95" s="443">
        <v>14</v>
      </c>
      <c r="P95" s="8"/>
      <c r="S95" s="8"/>
      <c r="V95" s="36"/>
      <c r="X95" s="36"/>
      <c r="Z95" s="36"/>
    </row>
    <row r="96" spans="1:26" s="31" customFormat="1" ht="15.95" hidden="1" customHeight="1" x14ac:dyDescent="0.15">
      <c r="A96" s="8"/>
      <c r="B96" s="33"/>
      <c r="C96" s="8"/>
      <c r="D96" s="8"/>
      <c r="E96" s="8"/>
      <c r="G96" s="21"/>
      <c r="I96" s="8"/>
      <c r="J96" s="33"/>
      <c r="K96" s="22"/>
      <c r="L96" s="8"/>
      <c r="M96" s="22" t="s">
        <v>338</v>
      </c>
      <c r="N96" s="87">
        <v>5</v>
      </c>
      <c r="O96" s="87">
        <v>6</v>
      </c>
      <c r="Q96" s="790" t="s">
        <v>339</v>
      </c>
      <c r="R96" s="791"/>
      <c r="S96" s="792" t="s">
        <v>374</v>
      </c>
      <c r="T96" s="793"/>
      <c r="U96" s="794"/>
      <c r="V96" s="36"/>
      <c r="X96" s="36"/>
      <c r="Z96" s="36"/>
    </row>
    <row r="97" spans="1:26" s="31" customFormat="1" ht="15.95" hidden="1" customHeight="1" x14ac:dyDescent="0.15">
      <c r="A97" s="8"/>
      <c r="B97" s="20" t="s">
        <v>390</v>
      </c>
      <c r="C97" s="4" t="s">
        <v>4</v>
      </c>
      <c r="D97" s="151">
        <f>D11</f>
        <v>2600</v>
      </c>
      <c r="E97" s="13" t="s">
        <v>583</v>
      </c>
      <c r="F97" s="8"/>
      <c r="G97" s="20" t="s">
        <v>340</v>
      </c>
      <c r="H97" s="4" t="s">
        <v>341</v>
      </c>
      <c r="I97" s="130">
        <f>2*D97*D99/(SQRT(D98*D100))</f>
        <v>147.27259356576931</v>
      </c>
      <c r="K97" s="22"/>
      <c r="L97" s="8"/>
      <c r="M97" s="8"/>
      <c r="N97" s="37">
        <v>0</v>
      </c>
      <c r="O97" s="37">
        <v>0</v>
      </c>
      <c r="P97" s="21" t="s">
        <v>342</v>
      </c>
      <c r="Q97" s="38" t="s">
        <v>343</v>
      </c>
      <c r="R97" s="39" t="s">
        <v>344</v>
      </c>
      <c r="S97" s="39">
        <v>1</v>
      </c>
      <c r="T97" s="40">
        <f>IF(O93=5, N97, O97)</f>
        <v>0</v>
      </c>
      <c r="U97" s="39" t="str">
        <f>P97</f>
        <v>S  ≤  S₁</v>
      </c>
      <c r="V97" s="36"/>
      <c r="X97" s="36"/>
      <c r="Z97" s="36"/>
    </row>
    <row r="98" spans="1:26" s="31" customFormat="1" ht="15.95" hidden="1" customHeight="1" x14ac:dyDescent="0.15">
      <c r="A98" s="8"/>
      <c r="B98" s="20" t="s">
        <v>345</v>
      </c>
      <c r="C98" s="4" t="s">
        <v>4</v>
      </c>
      <c r="D98" s="151">
        <f>D41</f>
        <v>462398.66666666663</v>
      </c>
      <c r="E98" s="13" t="s">
        <v>579</v>
      </c>
      <c r="F98" s="8"/>
      <c r="G98" s="41" t="s">
        <v>346</v>
      </c>
      <c r="H98" s="22"/>
      <c r="I98" s="22"/>
      <c r="J98" s="36"/>
      <c r="K98" s="22"/>
      <c r="L98" s="8"/>
      <c r="M98" s="8"/>
      <c r="N98" s="42">
        <v>0</v>
      </c>
      <c r="O98" s="42">
        <v>0</v>
      </c>
      <c r="P98" s="21" t="s">
        <v>347</v>
      </c>
      <c r="Q98" s="43">
        <f>IF(O93=5, N98,O98)</f>
        <v>0</v>
      </c>
      <c r="R98" s="44">
        <f>IF(O93=5,N100,O100)</f>
        <v>3823</v>
      </c>
      <c r="S98" s="46">
        <v>2</v>
      </c>
      <c r="T98" s="45">
        <f>IF(O93=5, N99, O99)</f>
        <v>9.6505085589175899</v>
      </c>
      <c r="U98" s="46" t="str">
        <f>P99</f>
        <v>S₁&lt;  S  &lt; S₂</v>
      </c>
      <c r="V98" s="36"/>
      <c r="X98" s="36"/>
      <c r="Z98" s="36"/>
    </row>
    <row r="99" spans="1:26" s="31" customFormat="1" ht="15.95" hidden="1" customHeight="1" x14ac:dyDescent="0.15">
      <c r="B99" s="20" t="s">
        <v>179</v>
      </c>
      <c r="C99" s="4" t="s">
        <v>4</v>
      </c>
      <c r="D99" s="151">
        <f>D44</f>
        <v>19870.579852681814</v>
      </c>
      <c r="E99" s="13" t="s">
        <v>575</v>
      </c>
      <c r="G99" s="20" t="str">
        <f>U101</f>
        <v>S₁&lt;  S  &lt; S₂</v>
      </c>
      <c r="J99" s="8"/>
      <c r="K99" s="22"/>
      <c r="L99" s="8"/>
      <c r="M99" s="8"/>
      <c r="N99" s="42">
        <f>10.5-0.07*SQRT(I97)</f>
        <v>9.6505085589175899</v>
      </c>
      <c r="O99" s="42">
        <f>16.7-0.14*SQRT(I97)</f>
        <v>15.001017117835179</v>
      </c>
      <c r="P99" s="21" t="s">
        <v>348</v>
      </c>
      <c r="Q99" s="88" t="s">
        <v>349</v>
      </c>
      <c r="S99" s="44">
        <v>3</v>
      </c>
      <c r="T99" s="47">
        <f>IF(O93=5, N101, O101)</f>
        <v>160.24026893680735</v>
      </c>
      <c r="U99" s="44" t="str">
        <f>P101</f>
        <v>S  ≥  S₂</v>
      </c>
      <c r="V99" s="36"/>
      <c r="X99" s="36"/>
      <c r="Z99" s="36"/>
    </row>
    <row r="100" spans="1:26" s="31" customFormat="1" ht="15.95" hidden="1" customHeight="1" thickBot="1" x14ac:dyDescent="0.2">
      <c r="A100" s="8"/>
      <c r="B100" s="20" t="s">
        <v>350</v>
      </c>
      <c r="C100" s="4" t="s">
        <v>4</v>
      </c>
      <c r="D100" s="151">
        <f>D45</f>
        <v>1064553.0909090908</v>
      </c>
      <c r="E100" s="13" t="s">
        <v>579</v>
      </c>
      <c r="F100" s="22"/>
      <c r="H100" s="22"/>
      <c r="I100" s="8"/>
      <c r="J100" s="8"/>
      <c r="K100" s="8"/>
      <c r="L100" s="8"/>
      <c r="M100" s="8"/>
      <c r="N100" s="42">
        <v>3823</v>
      </c>
      <c r="O100" s="42">
        <v>2400</v>
      </c>
      <c r="P100" s="21" t="s">
        <v>352</v>
      </c>
      <c r="Q100" s="39" t="s">
        <v>353</v>
      </c>
      <c r="V100" s="36"/>
      <c r="X100" s="36"/>
      <c r="Z100" s="36"/>
    </row>
    <row r="101" spans="1:26" s="31" customFormat="1" ht="15.95" hidden="1" customHeight="1" thickBot="1" x14ac:dyDescent="0.2">
      <c r="A101" s="8"/>
      <c r="B101" s="20" t="s">
        <v>354</v>
      </c>
      <c r="C101" s="4" t="s">
        <v>4</v>
      </c>
      <c r="D101" s="8">
        <f>T101</f>
        <v>9.6505085589175899</v>
      </c>
      <c r="E101" s="13" t="s">
        <v>232</v>
      </c>
      <c r="F101" s="22"/>
      <c r="K101" s="8"/>
      <c r="L101" s="8"/>
      <c r="M101" s="8"/>
      <c r="N101" s="48">
        <f>23599/I97</f>
        <v>160.24026893680735</v>
      </c>
      <c r="O101" s="48">
        <f>23599/I97</f>
        <v>160.24026893680735</v>
      </c>
      <c r="P101" s="21" t="s">
        <v>355</v>
      </c>
      <c r="Q101" s="44">
        <f>I97</f>
        <v>147.27259356576931</v>
      </c>
      <c r="S101" s="89">
        <f>IF(Q101&lt;=Q98,1,IF(AND(Q101&gt;Q98,Q101&lt;R98),2,3))</f>
        <v>2</v>
      </c>
      <c r="T101" s="49">
        <f>VLOOKUP(S101, S97:T99, 2, FALSE)</f>
        <v>9.6505085589175899</v>
      </c>
      <c r="U101" s="50" t="str">
        <f>VLOOKUP(S101,S97:U99, 3, FALSE)</f>
        <v>S₁&lt;  S  &lt; S₂</v>
      </c>
      <c r="V101" s="36"/>
      <c r="X101" s="36"/>
      <c r="Z101" s="36"/>
    </row>
    <row r="102" spans="1:26" s="31" customFormat="1" ht="15.95" hidden="1" customHeight="1" x14ac:dyDescent="0.15">
      <c r="A102" s="8"/>
      <c r="C102" s="4" t="s">
        <v>4</v>
      </c>
      <c r="D102" s="13">
        <f>D101*6.894757</f>
        <v>66.537911440156961</v>
      </c>
      <c r="E102" s="13" t="s">
        <v>561</v>
      </c>
      <c r="F102" s="22"/>
      <c r="G102" s="22"/>
      <c r="H102" s="22"/>
      <c r="I102" s="8"/>
      <c r="J102" s="8"/>
      <c r="K102" s="8"/>
      <c r="L102" s="8"/>
      <c r="M102" s="8"/>
      <c r="V102" s="36"/>
      <c r="X102" s="36"/>
      <c r="Z102" s="36"/>
    </row>
    <row r="103" spans="1:26" s="31" customFormat="1" ht="15.95" hidden="1" customHeight="1" x14ac:dyDescent="0.15">
      <c r="A103" s="8"/>
      <c r="C103" s="4"/>
      <c r="D103" s="13"/>
      <c r="E103" s="13"/>
      <c r="F103" s="22"/>
      <c r="G103" s="22"/>
      <c r="H103" s="22"/>
      <c r="I103" s="8"/>
      <c r="J103" s="8"/>
      <c r="K103" s="8"/>
      <c r="L103" s="8"/>
      <c r="M103" s="8"/>
      <c r="V103" s="36"/>
      <c r="X103" s="36"/>
      <c r="Z103" s="36"/>
    </row>
    <row r="104" spans="1:26" s="31" customFormat="1" ht="15.95" hidden="1" customHeight="1" x14ac:dyDescent="0.15">
      <c r="A104" s="8"/>
      <c r="B104" s="33" t="s">
        <v>356</v>
      </c>
      <c r="C104" s="33"/>
      <c r="D104" s="131"/>
      <c r="E104" s="131"/>
      <c r="G104" s="34" t="s">
        <v>357</v>
      </c>
      <c r="H104" s="85"/>
      <c r="I104" s="22"/>
      <c r="J104" s="86"/>
      <c r="K104" s="8"/>
      <c r="L104" s="8"/>
      <c r="M104" s="8"/>
      <c r="N104" s="36" t="s">
        <v>337</v>
      </c>
      <c r="O104" s="443">
        <v>16</v>
      </c>
      <c r="P104" s="8"/>
      <c r="S104" s="8"/>
      <c r="V104" s="36"/>
      <c r="X104" s="36"/>
      <c r="Z104" s="36"/>
    </row>
    <row r="105" spans="1:26" s="31" customFormat="1" ht="15.95" hidden="1" customHeight="1" x14ac:dyDescent="0.15">
      <c r="A105" s="8"/>
      <c r="B105" s="33"/>
      <c r="C105" s="33"/>
      <c r="D105" s="131"/>
      <c r="E105" s="131"/>
      <c r="F105" s="33"/>
      <c r="G105" s="33"/>
      <c r="H105" s="33"/>
      <c r="I105" s="8"/>
      <c r="J105" s="33"/>
      <c r="K105" s="8"/>
      <c r="L105" s="8"/>
      <c r="M105" s="22" t="s">
        <v>338</v>
      </c>
      <c r="N105" s="87">
        <v>5</v>
      </c>
      <c r="O105" s="87">
        <v>6</v>
      </c>
      <c r="Q105" s="790" t="s">
        <v>339</v>
      </c>
      <c r="R105" s="791"/>
      <c r="S105" s="792" t="s">
        <v>374</v>
      </c>
      <c r="T105" s="793"/>
      <c r="U105" s="794"/>
      <c r="V105" s="36"/>
      <c r="X105" s="36"/>
      <c r="Z105" s="36"/>
    </row>
    <row r="106" spans="1:26" s="31" customFormat="1" ht="15.95" hidden="1" customHeight="1" x14ac:dyDescent="0.15">
      <c r="A106" s="8"/>
      <c r="B106" s="20" t="s">
        <v>121</v>
      </c>
      <c r="C106" s="4" t="s">
        <v>4</v>
      </c>
      <c r="D106" s="7">
        <f>R39</f>
        <v>56</v>
      </c>
      <c r="E106" s="13" t="s">
        <v>583</v>
      </c>
      <c r="F106" s="8"/>
      <c r="G106" s="20" t="str">
        <f>U110</f>
        <v>S₁&lt;  S  &lt; S₂</v>
      </c>
      <c r="K106" s="8"/>
      <c r="L106" s="8"/>
      <c r="M106" s="8"/>
      <c r="N106" s="37">
        <v>9.6999999999999993</v>
      </c>
      <c r="O106" s="37">
        <v>15.2</v>
      </c>
      <c r="P106" s="21" t="s">
        <v>342</v>
      </c>
      <c r="Q106" s="38" t="s">
        <v>343</v>
      </c>
      <c r="R106" s="39" t="s">
        <v>344</v>
      </c>
      <c r="S106" s="39">
        <v>1</v>
      </c>
      <c r="T106" s="40">
        <f>IF(O93=5, N106, O106)</f>
        <v>9.6999999999999993</v>
      </c>
      <c r="U106" s="39" t="str">
        <f>P106</f>
        <v>S  ≤  S₁</v>
      </c>
      <c r="V106" s="36"/>
      <c r="X106" s="36"/>
      <c r="Z106" s="36"/>
    </row>
    <row r="107" spans="1:26" s="31" customFormat="1" ht="15.95" hidden="1" customHeight="1" x14ac:dyDescent="0.15">
      <c r="A107" s="8"/>
      <c r="B107" s="20" t="s">
        <v>379</v>
      </c>
      <c r="C107" s="4" t="s">
        <v>4</v>
      </c>
      <c r="D107" s="7">
        <f>R41</f>
        <v>2</v>
      </c>
      <c r="E107" s="13" t="s">
        <v>583</v>
      </c>
      <c r="G107" s="8"/>
      <c r="H107" s="8"/>
      <c r="I107" s="8"/>
      <c r="J107" s="8"/>
      <c r="K107" s="8"/>
      <c r="L107" s="8"/>
      <c r="M107" s="8"/>
      <c r="N107" s="42">
        <v>25.6</v>
      </c>
      <c r="O107" s="42">
        <v>22.8</v>
      </c>
      <c r="P107" s="21" t="s">
        <v>347</v>
      </c>
      <c r="Q107" s="43">
        <f>IF(O93=5, N107,O107)</f>
        <v>25.6</v>
      </c>
      <c r="R107" s="44">
        <f>IF(O93=5,N109,O109)</f>
        <v>50</v>
      </c>
      <c r="S107" s="46">
        <v>2</v>
      </c>
      <c r="T107" s="45">
        <f>IF(O93=5, N108, O108)</f>
        <v>9.4760000000000009</v>
      </c>
      <c r="U107" s="46" t="str">
        <f>P108</f>
        <v>S₁&lt;  S  &lt; S₂</v>
      </c>
      <c r="V107" s="36"/>
      <c r="X107" s="36"/>
      <c r="Z107" s="36"/>
    </row>
    <row r="108" spans="1:26" s="31" customFormat="1" ht="15.95" hidden="1" customHeight="1" x14ac:dyDescent="0.15">
      <c r="A108" s="8"/>
      <c r="B108" s="20" t="s">
        <v>402</v>
      </c>
      <c r="C108" s="4" t="s">
        <v>4</v>
      </c>
      <c r="D108" s="7">
        <f>D106/D107</f>
        <v>28</v>
      </c>
      <c r="E108" s="13"/>
      <c r="F108" s="8"/>
      <c r="H108" s="8"/>
      <c r="I108" s="8"/>
      <c r="J108" s="8"/>
      <c r="K108" s="8"/>
      <c r="L108" s="8"/>
      <c r="M108" s="8"/>
      <c r="N108" s="42">
        <f>11.8-0.083*D108</f>
        <v>9.4760000000000009</v>
      </c>
      <c r="O108" s="42">
        <f>19-0.17*(D108)</f>
        <v>14.239999999999998</v>
      </c>
      <c r="P108" s="21" t="s">
        <v>348</v>
      </c>
      <c r="Q108" s="88" t="s">
        <v>349</v>
      </c>
      <c r="S108" s="44">
        <v>3</v>
      </c>
      <c r="T108" s="47">
        <f>IF(O93=5, N110, O110)</f>
        <v>13.642857142857142</v>
      </c>
      <c r="U108" s="44" t="str">
        <f>P110</f>
        <v>S  ≥  S₂</v>
      </c>
      <c r="V108" s="36"/>
      <c r="X108" s="36"/>
      <c r="Z108" s="36"/>
    </row>
    <row r="109" spans="1:26" s="31" customFormat="1" ht="15.95" hidden="1" customHeight="1" thickBot="1" x14ac:dyDescent="0.2">
      <c r="A109" s="8"/>
      <c r="B109" s="20" t="s">
        <v>365</v>
      </c>
      <c r="C109" s="4" t="s">
        <v>4</v>
      </c>
      <c r="D109" s="8">
        <f>T110</f>
        <v>9.4760000000000009</v>
      </c>
      <c r="E109" s="13" t="s">
        <v>232</v>
      </c>
      <c r="F109" s="8"/>
      <c r="G109" s="8"/>
      <c r="H109" s="8"/>
      <c r="I109" s="8"/>
      <c r="J109" s="8"/>
      <c r="K109" s="8"/>
      <c r="L109" s="8"/>
      <c r="M109" s="8"/>
      <c r="N109" s="42">
        <v>50</v>
      </c>
      <c r="O109" s="42">
        <v>39</v>
      </c>
      <c r="P109" s="21" t="s">
        <v>352</v>
      </c>
      <c r="Q109" s="39" t="s">
        <v>353</v>
      </c>
      <c r="V109" s="36"/>
      <c r="X109" s="36"/>
      <c r="Z109" s="36"/>
    </row>
    <row r="110" spans="1:26" s="31" customFormat="1" ht="15.95" hidden="1" customHeight="1" thickBot="1" x14ac:dyDescent="0.2">
      <c r="A110" s="8"/>
      <c r="B110" s="27"/>
      <c r="C110" s="4" t="s">
        <v>4</v>
      </c>
      <c r="D110" s="13">
        <f>D109*6.894757</f>
        <v>65.334717332000011</v>
      </c>
      <c r="E110" s="13" t="s">
        <v>561</v>
      </c>
      <c r="F110" s="8"/>
      <c r="G110" s="8"/>
      <c r="H110" s="8"/>
      <c r="I110" s="8"/>
      <c r="J110" s="8"/>
      <c r="K110" s="8"/>
      <c r="L110" s="8"/>
      <c r="M110" s="8"/>
      <c r="N110" s="48">
        <f>382/D108</f>
        <v>13.642857142857142</v>
      </c>
      <c r="O110" s="48">
        <f>484/D108</f>
        <v>17.285714285714285</v>
      </c>
      <c r="P110" s="21" t="s">
        <v>355</v>
      </c>
      <c r="Q110" s="44">
        <f>D108</f>
        <v>28</v>
      </c>
      <c r="S110" s="89">
        <f>IF(Q110&lt;=Q107,1,IF(AND(Q110&gt;Q107,Q110&lt;R107),2,3))</f>
        <v>2</v>
      </c>
      <c r="T110" s="49">
        <f>VLOOKUP(S110, S106:T108, 2, FALSE)</f>
        <v>9.4760000000000009</v>
      </c>
      <c r="U110" s="50" t="str">
        <f>VLOOKUP(S110,S106:U108, 3, FALSE)</f>
        <v>S₁&lt;  S  &lt; S₂</v>
      </c>
      <c r="V110" s="36"/>
      <c r="X110" s="36"/>
      <c r="Z110" s="36"/>
    </row>
    <row r="111" spans="1:26" s="31" customFormat="1" ht="15.95" hidden="1" customHeight="1" x14ac:dyDescent="0.15">
      <c r="A111" s="8"/>
      <c r="C111" s="4"/>
      <c r="D111" s="13"/>
      <c r="E111" s="13"/>
      <c r="F111" s="22"/>
      <c r="G111" s="22"/>
      <c r="H111" s="22"/>
      <c r="I111" s="8"/>
      <c r="J111" s="8"/>
      <c r="K111" s="8"/>
      <c r="L111" s="8"/>
      <c r="M111" s="8"/>
      <c r="V111" s="36"/>
      <c r="X111" s="36"/>
      <c r="Z111" s="36"/>
    </row>
    <row r="112" spans="1:26" s="31" customFormat="1" ht="15.95" hidden="1" customHeight="1" x14ac:dyDescent="0.15">
      <c r="A112" s="8"/>
      <c r="B112" s="33" t="s">
        <v>356</v>
      </c>
      <c r="C112" s="33"/>
      <c r="D112" s="131"/>
      <c r="E112" s="131"/>
      <c r="F112" s="33"/>
      <c r="G112" s="34" t="s">
        <v>370</v>
      </c>
      <c r="H112" s="85"/>
      <c r="I112" s="8"/>
      <c r="J112" s="33"/>
      <c r="K112" s="8"/>
      <c r="L112" s="8"/>
      <c r="M112" s="8"/>
      <c r="N112" s="36" t="s">
        <v>337</v>
      </c>
      <c r="O112" s="443">
        <v>18</v>
      </c>
      <c r="P112" s="8"/>
      <c r="S112" s="8"/>
      <c r="V112" s="36"/>
      <c r="X112" s="36"/>
      <c r="Z112" s="36"/>
    </row>
    <row r="113" spans="1:26" s="31" customFormat="1" ht="15.95" hidden="1" customHeight="1" x14ac:dyDescent="0.15">
      <c r="A113" s="8"/>
      <c r="B113" s="33"/>
      <c r="C113" s="33"/>
      <c r="D113" s="131"/>
      <c r="E113" s="131"/>
      <c r="F113" s="33"/>
      <c r="G113" s="33"/>
      <c r="H113" s="33"/>
      <c r="I113" s="8"/>
      <c r="J113" s="33"/>
      <c r="K113" s="8"/>
      <c r="L113" s="8"/>
      <c r="M113" s="22" t="s">
        <v>338</v>
      </c>
      <c r="N113" s="87">
        <v>5</v>
      </c>
      <c r="O113" s="87">
        <v>6</v>
      </c>
      <c r="Q113" s="790" t="s">
        <v>339</v>
      </c>
      <c r="R113" s="791"/>
      <c r="S113" s="792" t="s">
        <v>374</v>
      </c>
      <c r="T113" s="793"/>
      <c r="U113" s="794"/>
      <c r="V113" s="36"/>
      <c r="X113" s="36"/>
      <c r="Z113" s="36"/>
    </row>
    <row r="114" spans="1:26" s="31" customFormat="1" ht="15.95" hidden="1" customHeight="1" x14ac:dyDescent="0.15">
      <c r="A114" s="8"/>
      <c r="B114" s="20" t="s">
        <v>120</v>
      </c>
      <c r="C114" s="4" t="s">
        <v>4</v>
      </c>
      <c r="D114" s="7">
        <f>R40</f>
        <v>116</v>
      </c>
      <c r="E114" s="13" t="s">
        <v>583</v>
      </c>
      <c r="F114" s="8"/>
      <c r="G114" s="20" t="str">
        <f>U118</f>
        <v>S  ≤  S₁</v>
      </c>
      <c r="K114" s="8"/>
      <c r="L114" s="8"/>
      <c r="M114" s="8"/>
      <c r="N114" s="37">
        <v>12.6</v>
      </c>
      <c r="O114" s="37">
        <v>19.7</v>
      </c>
      <c r="P114" s="21" t="s">
        <v>342</v>
      </c>
      <c r="Q114" s="38" t="s">
        <v>343</v>
      </c>
      <c r="R114" s="39" t="s">
        <v>344</v>
      </c>
      <c r="S114" s="39">
        <v>1</v>
      </c>
      <c r="T114" s="40">
        <f>IF(O93=5, N114, O114)</f>
        <v>12.6</v>
      </c>
      <c r="U114" s="39" t="str">
        <f>P114</f>
        <v>S  ≤  S₁</v>
      </c>
      <c r="V114" s="36"/>
      <c r="X114" s="36"/>
      <c r="Z114" s="36"/>
    </row>
    <row r="115" spans="1:26" s="31" customFormat="1" ht="15.95" hidden="1" customHeight="1" x14ac:dyDescent="0.15">
      <c r="A115" s="8"/>
      <c r="B115" s="20" t="s">
        <v>379</v>
      </c>
      <c r="C115" s="4" t="s">
        <v>4</v>
      </c>
      <c r="D115" s="7">
        <f>R42</f>
        <v>2</v>
      </c>
      <c r="E115" s="13" t="s">
        <v>583</v>
      </c>
      <c r="F115" s="8"/>
      <c r="H115" s="8"/>
      <c r="I115" s="8"/>
      <c r="J115" s="8"/>
      <c r="K115" s="8"/>
      <c r="L115" s="8"/>
      <c r="M115" s="8"/>
      <c r="N115" s="42">
        <v>61</v>
      </c>
      <c r="O115" s="42">
        <v>54.9</v>
      </c>
      <c r="P115" s="21" t="s">
        <v>347</v>
      </c>
      <c r="Q115" s="43">
        <f>IF(O93=5, N115,O115)</f>
        <v>61</v>
      </c>
      <c r="R115" s="44">
        <f>IF(O93=5,N117,O117)</f>
        <v>115</v>
      </c>
      <c r="S115" s="46">
        <v>2</v>
      </c>
      <c r="T115" s="45">
        <f>IF(O93=5, N116, O116)</f>
        <v>12.808000000000002</v>
      </c>
      <c r="U115" s="46" t="str">
        <f>P116</f>
        <v>S₁&lt;  S  &lt; S₂</v>
      </c>
      <c r="V115" s="36"/>
      <c r="X115" s="36"/>
      <c r="Z115" s="36"/>
    </row>
    <row r="116" spans="1:26" s="31" customFormat="1" ht="15.95" hidden="1" customHeight="1" x14ac:dyDescent="0.15">
      <c r="A116" s="8"/>
      <c r="B116" s="20" t="s">
        <v>403</v>
      </c>
      <c r="C116" s="4" t="s">
        <v>4</v>
      </c>
      <c r="D116" s="7">
        <f>D114/D115</f>
        <v>58</v>
      </c>
      <c r="E116" s="13"/>
      <c r="F116" s="8"/>
      <c r="H116" s="8"/>
      <c r="I116" s="8"/>
      <c r="J116" s="8"/>
      <c r="K116" s="8"/>
      <c r="L116" s="8"/>
      <c r="M116" s="8"/>
      <c r="N116" s="42">
        <f>17.1-0.074*D116</f>
        <v>12.808000000000002</v>
      </c>
      <c r="O116" s="42">
        <f>27.9-0.15*(D116)</f>
        <v>19.2</v>
      </c>
      <c r="P116" s="21" t="s">
        <v>348</v>
      </c>
      <c r="Q116" s="88" t="s">
        <v>349</v>
      </c>
      <c r="S116" s="44">
        <v>3</v>
      </c>
      <c r="T116" s="47">
        <f>IF(O93=5, N118, O118)</f>
        <v>17</v>
      </c>
      <c r="U116" s="44" t="str">
        <f>P118</f>
        <v>S  ≥  S₂</v>
      </c>
      <c r="V116" s="36"/>
      <c r="X116" s="36"/>
      <c r="Z116" s="36"/>
    </row>
    <row r="117" spans="1:26" s="31" customFormat="1" ht="15.95" hidden="1" customHeight="1" thickBot="1" x14ac:dyDescent="0.2">
      <c r="A117" s="8"/>
      <c r="B117" s="20" t="s">
        <v>381</v>
      </c>
      <c r="C117" s="4" t="s">
        <v>4</v>
      </c>
      <c r="D117" s="8">
        <f>T118</f>
        <v>12.6</v>
      </c>
      <c r="E117" s="13" t="s">
        <v>232</v>
      </c>
      <c r="F117" s="8"/>
      <c r="G117" s="8"/>
      <c r="H117" s="8"/>
      <c r="I117" s="8"/>
      <c r="J117" s="8"/>
      <c r="K117" s="8"/>
      <c r="L117" s="8"/>
      <c r="M117" s="8"/>
      <c r="N117" s="42">
        <v>115</v>
      </c>
      <c r="O117" s="42">
        <v>93</v>
      </c>
      <c r="P117" s="21" t="s">
        <v>352</v>
      </c>
      <c r="Q117" s="39" t="s">
        <v>353</v>
      </c>
      <c r="V117" s="36"/>
      <c r="X117" s="36"/>
      <c r="Z117" s="36"/>
    </row>
    <row r="118" spans="1:26" s="31" customFormat="1" ht="15.95" hidden="1" customHeight="1" thickBot="1" x14ac:dyDescent="0.2">
      <c r="A118" s="8"/>
      <c r="B118" s="22"/>
      <c r="C118" s="4" t="s">
        <v>4</v>
      </c>
      <c r="D118" s="13">
        <f>D117*6.894757</f>
        <v>86.873938199999998</v>
      </c>
      <c r="E118" s="13" t="s">
        <v>561</v>
      </c>
      <c r="F118" s="8"/>
      <c r="G118" s="8"/>
      <c r="H118" s="8"/>
      <c r="I118" s="8"/>
      <c r="J118" s="8"/>
      <c r="K118" s="8"/>
      <c r="L118" s="8"/>
      <c r="M118" s="8"/>
      <c r="N118" s="48">
        <f>986/D116</f>
        <v>17</v>
      </c>
      <c r="O118" s="48">
        <f>1298/D116</f>
        <v>22.379310344827587</v>
      </c>
      <c r="P118" s="21" t="s">
        <v>355</v>
      </c>
      <c r="Q118" s="44">
        <f>D116</f>
        <v>58</v>
      </c>
      <c r="S118" s="89">
        <f>IF(Q118&lt;=Q115,1,IF(AND(Q118&gt;Q115,Q118&lt;=R115),2,3))</f>
        <v>1</v>
      </c>
      <c r="T118" s="49">
        <f>VLOOKUP(S118, S114:T116, 2, FALSE)</f>
        <v>12.6</v>
      </c>
      <c r="U118" s="50" t="str">
        <f>VLOOKUP(S118,S114:U116, 3, FALSE)</f>
        <v>S  ≤  S₁</v>
      </c>
      <c r="V118" s="36"/>
      <c r="X118" s="36"/>
      <c r="Z118" s="36"/>
    </row>
    <row r="119" spans="1:26" s="31" customFormat="1" ht="15.95" hidden="1" customHeight="1" x14ac:dyDescent="0.15">
      <c r="A119" s="8"/>
      <c r="B119" s="8"/>
      <c r="C119" s="8"/>
      <c r="D119" s="13"/>
      <c r="E119" s="13"/>
      <c r="F119" s="8"/>
      <c r="G119" s="8"/>
      <c r="H119" s="8"/>
      <c r="I119" s="8"/>
      <c r="J119" s="8"/>
      <c r="K119" s="8"/>
      <c r="L119" s="8"/>
      <c r="M119" s="8"/>
      <c r="N119" s="21"/>
      <c r="V119" s="36"/>
      <c r="X119" s="36"/>
      <c r="Z119" s="36"/>
    </row>
    <row r="120" spans="1:26" s="31" customFormat="1" ht="15.95" hidden="1" customHeight="1" x14ac:dyDescent="0.15">
      <c r="A120" s="8"/>
      <c r="B120" s="19" t="s">
        <v>382</v>
      </c>
      <c r="C120" s="8"/>
      <c r="D120" s="13"/>
      <c r="E120" s="3" t="s">
        <v>383</v>
      </c>
      <c r="F120" s="8" t="s">
        <v>384</v>
      </c>
      <c r="G120" s="8"/>
      <c r="H120" s="8"/>
      <c r="I120" s="8"/>
      <c r="J120" s="8"/>
      <c r="K120" s="8"/>
      <c r="L120" s="8"/>
      <c r="M120" s="8"/>
      <c r="N120" s="21"/>
      <c r="V120" s="36"/>
      <c r="X120" s="36"/>
      <c r="Z120" s="36"/>
    </row>
    <row r="121" spans="1:26" s="31" customFormat="1" ht="15.95" hidden="1" customHeight="1" x14ac:dyDescent="0.15">
      <c r="A121" s="8"/>
      <c r="B121" s="19"/>
      <c r="C121" s="8"/>
      <c r="D121" s="13"/>
      <c r="E121" s="13"/>
      <c r="F121" s="8"/>
      <c r="G121" s="8"/>
      <c r="H121" s="8"/>
      <c r="I121" s="8"/>
      <c r="J121" s="8"/>
      <c r="K121" s="8"/>
      <c r="L121" s="8"/>
      <c r="M121" s="8"/>
      <c r="N121" s="21"/>
      <c r="V121" s="36"/>
      <c r="X121" s="36"/>
      <c r="Z121" s="36"/>
    </row>
    <row r="122" spans="1:26" s="31" customFormat="1" ht="15.95" hidden="1" customHeight="1" x14ac:dyDescent="0.15">
      <c r="A122" s="8"/>
      <c r="B122" s="20" t="s">
        <v>180</v>
      </c>
      <c r="C122" s="4" t="s">
        <v>4</v>
      </c>
      <c r="D122" s="783" t="s">
        <v>625</v>
      </c>
      <c r="E122" s="783"/>
      <c r="F122" s="8"/>
      <c r="G122" s="8"/>
      <c r="H122" s="8"/>
      <c r="I122" s="8"/>
      <c r="J122" s="8"/>
      <c r="K122" s="8"/>
      <c r="L122" s="8"/>
      <c r="M122" s="8"/>
      <c r="N122" s="21"/>
      <c r="V122" s="36"/>
      <c r="X122" s="36"/>
      <c r="Z122" s="36"/>
    </row>
    <row r="123" spans="1:26" s="31" customFormat="1" ht="15.95" hidden="1" customHeight="1" x14ac:dyDescent="0.15">
      <c r="A123" s="8"/>
      <c r="B123" s="22"/>
      <c r="C123" s="4" t="s">
        <v>4</v>
      </c>
      <c r="D123" s="7">
        <f>0.85*(D14*J43)/D44</f>
        <v>0</v>
      </c>
      <c r="E123" s="13" t="s">
        <v>561</v>
      </c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V123" s="36"/>
      <c r="X123" s="36"/>
      <c r="Z123" s="36"/>
    </row>
    <row r="124" spans="1:26" s="31" customFormat="1" ht="15.95" hidden="1" customHeight="1" x14ac:dyDescent="0.15">
      <c r="A124" s="8"/>
      <c r="B124" s="20" t="s">
        <v>184</v>
      </c>
      <c r="C124" s="4" t="s">
        <v>4</v>
      </c>
      <c r="D124" s="6" t="s">
        <v>387</v>
      </c>
      <c r="E124" s="132"/>
      <c r="F124" s="20"/>
      <c r="H124" s="8"/>
      <c r="I124" s="8"/>
      <c r="J124" s="8"/>
      <c r="K124" s="8"/>
      <c r="L124" s="8"/>
      <c r="M124" s="8"/>
      <c r="N124" s="8"/>
      <c r="O124" s="8"/>
      <c r="P124" s="8"/>
      <c r="V124" s="36"/>
      <c r="X124" s="36"/>
      <c r="Z124" s="36"/>
    </row>
    <row r="125" spans="1:26" s="31" customFormat="1" ht="15.95" hidden="1" customHeight="1" x14ac:dyDescent="0.15">
      <c r="A125" s="8"/>
      <c r="B125" s="27"/>
      <c r="C125" s="4" t="s">
        <v>4</v>
      </c>
      <c r="D125" s="51">
        <f>MIN(D102,D110,D118)</f>
        <v>65.334717332000011</v>
      </c>
      <c r="E125" s="13" t="s">
        <v>561</v>
      </c>
      <c r="F125" s="8"/>
      <c r="G125" s="22"/>
      <c r="H125" s="27"/>
      <c r="I125" s="22"/>
      <c r="J125" s="8"/>
      <c r="K125" s="8"/>
      <c r="L125" s="8"/>
      <c r="M125" s="8"/>
      <c r="N125" s="8"/>
      <c r="O125" s="8"/>
      <c r="P125" s="8"/>
      <c r="V125" s="36"/>
      <c r="X125" s="36"/>
      <c r="Z125" s="36"/>
    </row>
    <row r="126" spans="1:26" s="31" customFormat="1" ht="15.95" hidden="1" customHeight="1" x14ac:dyDescent="0.15">
      <c r="A126" s="8"/>
      <c r="C126" s="4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V126" s="36"/>
      <c r="X126" s="36"/>
      <c r="Z126" s="36"/>
    </row>
    <row r="127" spans="1:26" ht="15.95" hidden="1" customHeight="1" x14ac:dyDescent="0.15"/>
    <row r="128" spans="1:26" ht="15.95" hidden="1" customHeight="1" x14ac:dyDescent="0.15">
      <c r="B128" s="19" t="s">
        <v>187</v>
      </c>
    </row>
    <row r="129" spans="1:26" ht="15.95" hidden="1" customHeight="1" x14ac:dyDescent="0.15"/>
    <row r="130" spans="1:26" ht="15.95" hidden="1" customHeight="1" x14ac:dyDescent="0.15">
      <c r="B130" s="20" t="s">
        <v>404</v>
      </c>
      <c r="C130" s="4" t="s">
        <v>4</v>
      </c>
      <c r="D130" s="22">
        <f>D123/D125</f>
        <v>0</v>
      </c>
      <c r="E130" s="23" t="str">
        <f>IF(D130&gt;F130,"&gt;","&lt;")</f>
        <v>&lt;</v>
      </c>
      <c r="F130" s="3">
        <v>1</v>
      </c>
      <c r="G130" s="91" t="str">
        <f>IF(D130&lt;F130,"O.K.","N.G.")</f>
        <v>O.K.</v>
      </c>
      <c r="N130" s="4"/>
    </row>
    <row r="131" spans="1:26" ht="15.95" hidden="1" customHeight="1" x14ac:dyDescent="0.15">
      <c r="B131" s="52"/>
      <c r="D131" s="27"/>
      <c r="N131" s="4"/>
    </row>
    <row r="132" spans="1:26" ht="15.95" hidden="1" customHeight="1" x14ac:dyDescent="0.15">
      <c r="A132" s="27"/>
      <c r="B132" s="27"/>
      <c r="C132" s="27"/>
      <c r="D132" s="27"/>
      <c r="E132" s="27"/>
      <c r="F132" s="33"/>
      <c r="G132" s="27"/>
      <c r="H132" s="27"/>
      <c r="I132" s="27"/>
      <c r="J132" s="27"/>
      <c r="K132" s="27"/>
      <c r="L132" s="27"/>
      <c r="M132" s="27"/>
      <c r="N132" s="4"/>
    </row>
    <row r="133" spans="1:26" ht="15.95" hidden="1" customHeight="1" x14ac:dyDescent="0.1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4"/>
    </row>
    <row r="134" spans="1:26" ht="15.95" hidden="1" customHeight="1" x14ac:dyDescent="0.1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4"/>
    </row>
    <row r="135" spans="1:26" ht="15.95" hidden="1" customHeight="1" x14ac:dyDescent="0.15">
      <c r="B135" s="33"/>
      <c r="D135" s="27"/>
    </row>
    <row r="136" spans="1:26" ht="15.95" hidden="1" customHeight="1" x14ac:dyDescent="0.15">
      <c r="B136" s="33"/>
      <c r="D136" s="27"/>
    </row>
    <row r="137" spans="1:26" ht="15.95" hidden="1" customHeight="1" x14ac:dyDescent="0.15">
      <c r="B137" s="33"/>
      <c r="D137" s="27"/>
    </row>
    <row r="138" spans="1:26" ht="15.95" hidden="1" customHeight="1" x14ac:dyDescent="0.15">
      <c r="B138" s="33"/>
      <c r="D138" s="27"/>
    </row>
    <row r="139" spans="1:26" ht="15.95" hidden="1" customHeight="1" x14ac:dyDescent="0.15">
      <c r="B139" s="61" t="s">
        <v>189</v>
      </c>
      <c r="V139" s="8"/>
      <c r="X139" s="8"/>
      <c r="Z139" s="8"/>
    </row>
    <row r="140" spans="1:26" ht="15.95" hidden="1" customHeight="1" x14ac:dyDescent="0.15">
      <c r="B140" s="33"/>
      <c r="D140" s="27"/>
      <c r="V140" s="8"/>
      <c r="X140" s="8"/>
      <c r="Z140" s="8"/>
    </row>
    <row r="141" spans="1:26" s="2" customFormat="1" ht="15.95" hidden="1" customHeight="1" x14ac:dyDescent="0.15">
      <c r="A141" s="3"/>
      <c r="B141" s="27" t="s">
        <v>457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21"/>
      <c r="O141" s="21"/>
      <c r="P141" s="30"/>
    </row>
    <row r="142" spans="1:26" ht="15.95" hidden="1" customHeight="1" x14ac:dyDescent="0.15">
      <c r="B142" s="61"/>
      <c r="D142" s="22"/>
      <c r="O142" s="102"/>
      <c r="Q142" s="102"/>
      <c r="S142" s="102"/>
      <c r="U142" s="102">
        <v>2.2999999999999998</v>
      </c>
      <c r="V142" s="8"/>
      <c r="X142" s="8"/>
      <c r="Z142" s="8"/>
    </row>
    <row r="143" spans="1:26" ht="15.95" hidden="1" customHeight="1" x14ac:dyDescent="0.15">
      <c r="B143" s="20" t="s">
        <v>458</v>
      </c>
      <c r="C143" s="4" t="s">
        <v>4</v>
      </c>
      <c r="D143" s="147">
        <f>(D14*J44)</f>
        <v>0</v>
      </c>
      <c r="E143" s="27" t="s">
        <v>563</v>
      </c>
      <c r="G143" s="4" t="s">
        <v>9</v>
      </c>
      <c r="H143" s="20" t="s">
        <v>182</v>
      </c>
      <c r="V143" s="8"/>
      <c r="X143" s="8"/>
      <c r="Z143" s="8"/>
    </row>
    <row r="144" spans="1:26" ht="15.95" hidden="1" customHeight="1" x14ac:dyDescent="0.15">
      <c r="B144" s="19"/>
      <c r="V144" s="8"/>
      <c r="X144" s="8"/>
      <c r="Z144" s="8"/>
    </row>
    <row r="145" spans="2:26" ht="15.95" hidden="1" customHeight="1" x14ac:dyDescent="0.15">
      <c r="B145" s="20" t="s">
        <v>179</v>
      </c>
      <c r="C145" s="4" t="s">
        <v>4</v>
      </c>
      <c r="D145" s="147">
        <f>F44</f>
        <v>15503.573333333332</v>
      </c>
      <c r="E145" s="8" t="s">
        <v>575</v>
      </c>
      <c r="G145" s="4" t="s">
        <v>9</v>
      </c>
      <c r="H145" s="20" t="s">
        <v>183</v>
      </c>
      <c r="V145" s="8"/>
      <c r="X145" s="8"/>
      <c r="Z145" s="8"/>
    </row>
    <row r="146" spans="2:26" ht="15.95" hidden="1" customHeight="1" x14ac:dyDescent="0.15">
      <c r="V146" s="8"/>
      <c r="X146" s="8"/>
      <c r="Z146" s="8"/>
    </row>
    <row r="147" spans="2:26" ht="15.95" hidden="1" customHeight="1" x14ac:dyDescent="0.15">
      <c r="C147" s="4"/>
      <c r="V147" s="8"/>
      <c r="X147" s="8"/>
      <c r="Z147" s="8"/>
    </row>
    <row r="148" spans="2:26" ht="15.95" hidden="1" customHeight="1" x14ac:dyDescent="0.15">
      <c r="B148" s="19" t="s">
        <v>177</v>
      </c>
      <c r="D148" s="12"/>
      <c r="V148" s="8"/>
      <c r="X148" s="8"/>
      <c r="Z148" s="8"/>
    </row>
    <row r="149" spans="2:26" ht="15.95" hidden="1" customHeight="1" x14ac:dyDescent="0.15">
      <c r="V149" s="8"/>
      <c r="X149" s="8"/>
      <c r="Z149" s="8"/>
    </row>
    <row r="150" spans="2:26" ht="15.95" hidden="1" customHeight="1" x14ac:dyDescent="0.15">
      <c r="B150" s="20" t="s">
        <v>459</v>
      </c>
      <c r="C150" s="4" t="s">
        <v>4</v>
      </c>
      <c r="D150" s="20" t="s">
        <v>625</v>
      </c>
      <c r="V150" s="8"/>
      <c r="X150" s="8"/>
      <c r="Z150" s="8"/>
    </row>
    <row r="151" spans="2:26" ht="15.95" hidden="1" customHeight="1" x14ac:dyDescent="0.15">
      <c r="C151" s="4" t="s">
        <v>4</v>
      </c>
      <c r="D151" s="13">
        <f>0.85*(D143/D145)</f>
        <v>0</v>
      </c>
      <c r="E151" s="13" t="s">
        <v>561</v>
      </c>
      <c r="V151" s="8"/>
      <c r="X151" s="8"/>
      <c r="Z151" s="8"/>
    </row>
    <row r="152" spans="2:26" ht="15.95" hidden="1" customHeight="1" x14ac:dyDescent="0.15">
      <c r="V152" s="8"/>
      <c r="X152" s="8"/>
      <c r="Z152" s="8"/>
    </row>
    <row r="153" spans="2:26" ht="15.95" hidden="1" customHeight="1" x14ac:dyDescent="0.15">
      <c r="V153" s="8"/>
      <c r="X153" s="8"/>
      <c r="Z153" s="8"/>
    </row>
    <row r="154" spans="2:26" ht="15.95" hidden="1" customHeight="1" x14ac:dyDescent="0.15">
      <c r="B154" s="19" t="s">
        <v>178</v>
      </c>
      <c r="E154" s="8" t="str">
        <f>IF(N158=1,"","( Short Term Load )")</f>
        <v>( Short Term Load )</v>
      </c>
      <c r="V154" s="8"/>
      <c r="X154" s="8"/>
      <c r="Z154" s="8"/>
    </row>
    <row r="155" spans="2:26" ht="15.95" hidden="1" customHeight="1" x14ac:dyDescent="0.15">
      <c r="B155" s="19"/>
      <c r="G155" s="4"/>
      <c r="H155" s="20"/>
      <c r="V155" s="8"/>
      <c r="X155" s="8"/>
      <c r="Z155" s="8"/>
    </row>
    <row r="156" spans="2:26" ht="15.95" hidden="1" customHeight="1" x14ac:dyDescent="0.15">
      <c r="B156" s="20" t="s">
        <v>185</v>
      </c>
      <c r="C156" s="4" t="s">
        <v>4</v>
      </c>
      <c r="D156" s="13">
        <v>275</v>
      </c>
      <c r="E156" s="13" t="s">
        <v>561</v>
      </c>
      <c r="G156" s="4" t="s">
        <v>9</v>
      </c>
      <c r="H156" s="20" t="s">
        <v>842</v>
      </c>
      <c r="V156" s="8"/>
      <c r="X156" s="8"/>
      <c r="Z156" s="8"/>
    </row>
    <row r="157" spans="2:26" ht="15.95" hidden="1" customHeight="1" x14ac:dyDescent="0.15">
      <c r="B157" s="20" t="s">
        <v>365</v>
      </c>
      <c r="C157" s="4" t="s">
        <v>4</v>
      </c>
      <c r="D157" s="64" t="s">
        <v>843</v>
      </c>
      <c r="E157" s="20"/>
      <c r="V157" s="8"/>
      <c r="X157" s="8"/>
      <c r="Z157" s="8"/>
    </row>
    <row r="158" spans="2:26" ht="15.95" hidden="1" customHeight="1" x14ac:dyDescent="0.15">
      <c r="B158" s="22"/>
      <c r="C158" s="4" t="s">
        <v>4</v>
      </c>
      <c r="D158" s="13">
        <f>0.66*D156</f>
        <v>181.5</v>
      </c>
      <c r="E158" s="13" t="s">
        <v>561</v>
      </c>
      <c r="V158" s="8"/>
      <c r="X158" s="8"/>
      <c r="Z158" s="8"/>
    </row>
    <row r="159" spans="2:26" ht="15.95" hidden="1" customHeight="1" x14ac:dyDescent="0.15">
      <c r="V159" s="8"/>
      <c r="X159" s="8"/>
      <c r="Z159" s="8"/>
    </row>
    <row r="160" spans="2:26" ht="15.95" hidden="1" customHeight="1" x14ac:dyDescent="0.15">
      <c r="V160" s="8"/>
      <c r="X160" s="8"/>
      <c r="Z160" s="8"/>
    </row>
    <row r="161" spans="2:26" ht="15.95" hidden="1" customHeight="1" x14ac:dyDescent="0.15">
      <c r="B161" s="19" t="s">
        <v>187</v>
      </c>
      <c r="V161" s="8"/>
      <c r="X161" s="8"/>
      <c r="Z161" s="8"/>
    </row>
    <row r="162" spans="2:26" ht="15.95" hidden="1" customHeight="1" x14ac:dyDescent="0.15">
      <c r="B162" s="19"/>
      <c r="N162" s="4"/>
      <c r="V162" s="8"/>
      <c r="X162" s="8"/>
      <c r="Z162" s="8"/>
    </row>
    <row r="163" spans="2:26" ht="15.95" hidden="1" customHeight="1" x14ac:dyDescent="0.15">
      <c r="B163" s="20" t="s">
        <v>188</v>
      </c>
      <c r="C163" s="4" t="s">
        <v>4</v>
      </c>
      <c r="D163" s="22">
        <f>D151/D158</f>
        <v>0</v>
      </c>
      <c r="E163" s="23" t="str">
        <f>IF(D163&gt;F163,"&gt;","&lt;")</f>
        <v>&lt;</v>
      </c>
      <c r="F163" s="3">
        <v>1</v>
      </c>
      <c r="G163" s="91" t="str">
        <f>IF(D163&lt;F163,"O.K.","N.G.")</f>
        <v>O.K.</v>
      </c>
      <c r="V163" s="8"/>
      <c r="X163" s="8"/>
      <c r="Z163" s="8"/>
    </row>
    <row r="164" spans="2:26" ht="15.95" hidden="1" customHeight="1" x14ac:dyDescent="0.15">
      <c r="C164" s="103"/>
      <c r="D164" s="12"/>
      <c r="F164" s="12"/>
      <c r="V164" s="8"/>
      <c r="X164" s="8"/>
      <c r="Z164" s="8"/>
    </row>
    <row r="165" spans="2:26" ht="15.95" hidden="1" customHeight="1" x14ac:dyDescent="0.15">
      <c r="C165" s="103"/>
      <c r="D165" s="12"/>
      <c r="F165" s="12"/>
      <c r="V165" s="8"/>
      <c r="X165" s="8"/>
      <c r="Z165" s="8"/>
    </row>
    <row r="166" spans="2:26" ht="15.95" hidden="1" customHeight="1" x14ac:dyDescent="0.15">
      <c r="B166" s="24" t="s">
        <v>190</v>
      </c>
    </row>
    <row r="167" spans="2:26" ht="15.95" hidden="1" customHeight="1" x14ac:dyDescent="0.15"/>
    <row r="168" spans="2:26" ht="15.95" hidden="1" customHeight="1" x14ac:dyDescent="0.15">
      <c r="B168" s="19" t="s">
        <v>192</v>
      </c>
    </row>
    <row r="169" spans="2:26" ht="15.95" hidden="1" customHeight="1" x14ac:dyDescent="0.15">
      <c r="B169" s="19"/>
    </row>
    <row r="170" spans="2:26" ht="15.95" hidden="1" customHeight="1" x14ac:dyDescent="0.15">
      <c r="B170" s="62" t="s">
        <v>165</v>
      </c>
      <c r="C170" s="4" t="s">
        <v>4</v>
      </c>
      <c r="D170" s="8">
        <f>D16</f>
        <v>0</v>
      </c>
      <c r="E170" s="13" t="s">
        <v>583</v>
      </c>
    </row>
    <row r="171" spans="2:26" ht="15.95" hidden="1" customHeight="1" x14ac:dyDescent="0.15"/>
    <row r="172" spans="2:26" ht="15.95" hidden="1" customHeight="1" x14ac:dyDescent="0.15"/>
    <row r="173" spans="2:26" ht="15.95" hidden="1" customHeight="1" x14ac:dyDescent="0.15">
      <c r="B173" s="19" t="s">
        <v>191</v>
      </c>
      <c r="E173" s="26" t="s">
        <v>195</v>
      </c>
    </row>
    <row r="174" spans="2:26" ht="15.95" hidden="1" customHeight="1" x14ac:dyDescent="0.15">
      <c r="B174" s="19"/>
    </row>
    <row r="175" spans="2:26" ht="15.95" hidden="1" customHeight="1" x14ac:dyDescent="0.15">
      <c r="B175" s="62" t="s">
        <v>2</v>
      </c>
      <c r="C175" s="4" t="s">
        <v>4</v>
      </c>
      <c r="D175" s="142">
        <f>D10</f>
        <v>4000</v>
      </c>
      <c r="E175" s="8" t="str">
        <f>IF(D175&gt;4110,"mm      &gt;     4110 mm","mm     ≤     4110 mm")</f>
        <v>mm     ≤     4110 mm</v>
      </c>
      <c r="M175" s="27" t="s">
        <v>196</v>
      </c>
      <c r="N175" s="25">
        <f>D175/240+6.35</f>
        <v>23.016666666666666</v>
      </c>
    </row>
    <row r="176" spans="2:26" ht="15.95" hidden="1" customHeight="1" x14ac:dyDescent="0.15">
      <c r="B176" s="62" t="s">
        <v>193</v>
      </c>
      <c r="C176" s="4" t="s">
        <v>4</v>
      </c>
      <c r="D176" s="152">
        <f>D175</f>
        <v>4000</v>
      </c>
      <c r="E176" s="19" t="str">
        <f>IF(D175&lt;4110,"mm      /     175","mm      /      240 + 6.35 mm ")</f>
        <v>mm      /     175</v>
      </c>
      <c r="M176" s="27" t="s">
        <v>197</v>
      </c>
      <c r="N176" s="25">
        <f>D175/175</f>
        <v>22.857142857142858</v>
      </c>
    </row>
    <row r="177" spans="1:26" ht="15.95" hidden="1" customHeight="1" x14ac:dyDescent="0.15">
      <c r="B177" s="22"/>
      <c r="C177" s="4" t="s">
        <v>4</v>
      </c>
      <c r="D177" s="22">
        <f>IF(D175&gt;4110,N175,N176)</f>
        <v>22.857142857142858</v>
      </c>
      <c r="E177" s="8" t="s">
        <v>600</v>
      </c>
    </row>
    <row r="178" spans="1:26" ht="15.95" hidden="1" customHeight="1" x14ac:dyDescent="0.15"/>
    <row r="179" spans="1:26" ht="15.95" hidden="1" customHeight="1" x14ac:dyDescent="0.15"/>
    <row r="180" spans="1:26" ht="15.95" hidden="1" customHeight="1" x14ac:dyDescent="0.15">
      <c r="B180" s="19" t="s">
        <v>198</v>
      </c>
    </row>
    <row r="181" spans="1:26" s="4" customFormat="1" ht="15.95" hidden="1" customHeight="1" x14ac:dyDescent="0.15">
      <c r="A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O181" s="8"/>
      <c r="P181" s="8"/>
      <c r="Q181" s="8"/>
      <c r="R181" s="8"/>
      <c r="S181" s="8"/>
      <c r="T181" s="8"/>
      <c r="U181" s="8"/>
      <c r="V181" s="22"/>
      <c r="X181" s="22"/>
      <c r="Z181" s="22"/>
    </row>
    <row r="182" spans="1:26" s="4" customFormat="1" ht="15.95" hidden="1" customHeight="1" x14ac:dyDescent="0.15">
      <c r="A182" s="8"/>
      <c r="B182" s="20" t="s">
        <v>405</v>
      </c>
      <c r="C182" s="4" t="s">
        <v>4</v>
      </c>
      <c r="D182" s="22">
        <f>D170/(D177)</f>
        <v>0</v>
      </c>
      <c r="E182" s="23" t="str">
        <f>IF(D182&gt;F182,"&gt;","&lt;")</f>
        <v>&lt;</v>
      </c>
      <c r="F182" s="3">
        <v>1</v>
      </c>
      <c r="G182" s="91" t="str">
        <f>IF(D182&lt;F182,"O.K.","N.G.")</f>
        <v>O.K.</v>
      </c>
      <c r="I182" s="27"/>
      <c r="J182" s="27"/>
      <c r="K182" s="27"/>
      <c r="L182" s="27"/>
      <c r="M182" s="27"/>
      <c r="O182" s="8"/>
      <c r="P182" s="8"/>
      <c r="Q182" s="8"/>
      <c r="R182" s="8"/>
      <c r="S182" s="8"/>
      <c r="T182" s="8"/>
      <c r="U182" s="8"/>
      <c r="V182" s="22"/>
      <c r="X182" s="22"/>
      <c r="Z182" s="22"/>
    </row>
    <row r="183" spans="1:26" ht="15.95" hidden="1" customHeight="1" x14ac:dyDescent="0.15"/>
    <row r="184" spans="1:26" ht="15.95" hidden="1" customHeight="1" x14ac:dyDescent="0.15"/>
    <row r="185" spans="1:26" ht="15.95" hidden="1" customHeight="1" x14ac:dyDescent="0.15"/>
    <row r="186" spans="1:26" ht="15.95" hidden="1" customHeight="1" x14ac:dyDescent="0.15"/>
  </sheetData>
  <sheetProtection algorithmName="SHA-512" hashValue="Bn6ubb8wYYSfIh9J3Ur2vN5Qs/ZdqpK3Tr+Ek5mpPMGiyv9FGBV8AjMyWmFm/VGoz/516xaxcHAKxKNkyGMpmQ==" saltValue="rxBVCV90J1ywJ4BY23sdcw==" spinCount="100000" sheet="1" objects="1" scenarios="1" selectLockedCells="1"/>
  <protectedRanges>
    <protectedRange sqref="D12" name="범위1_2"/>
    <protectedRange sqref="F12" name="범위1_2_1"/>
    <protectedRange sqref="D7:D11" name="범위1_2_2"/>
  </protectedRanges>
  <mergeCells count="11">
    <mergeCell ref="M6:N6"/>
    <mergeCell ref="D122:E122"/>
    <mergeCell ref="Q96:R96"/>
    <mergeCell ref="S96:U96"/>
    <mergeCell ref="Q105:R105"/>
    <mergeCell ref="S105:U105"/>
    <mergeCell ref="Q113:R113"/>
    <mergeCell ref="S113:U113"/>
    <mergeCell ref="N13:N14"/>
    <mergeCell ref="O13:O14"/>
    <mergeCell ref="B46:K46"/>
  </mergeCells>
  <phoneticPr fontId="1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00B0F0"/>
  </sheetPr>
  <dimension ref="A1:AA249"/>
  <sheetViews>
    <sheetView view="pageBreakPreview" zoomScale="75" zoomScaleNormal="100" zoomScaleSheetLayoutView="75" workbookViewId="0"/>
  </sheetViews>
  <sheetFormatPr defaultRowHeight="15.95" customHeight="1" x14ac:dyDescent="0.15"/>
  <cols>
    <col min="1" max="1" width="2.77734375" style="8" customWidth="1"/>
    <col min="2" max="2" width="7.33203125" style="8" customWidth="1"/>
    <col min="3" max="3" width="5.33203125" style="8" customWidth="1"/>
    <col min="4" max="4" width="9.33203125" style="8" customWidth="1"/>
    <col min="5" max="5" width="5.33203125" style="8" customWidth="1"/>
    <col min="6" max="6" width="9.33203125" style="8" customWidth="1"/>
    <col min="7" max="8" width="7.33203125" style="8" customWidth="1"/>
    <col min="9" max="9" width="5.88671875" style="8" customWidth="1"/>
    <col min="10" max="10" width="9.33203125" style="8" customWidth="1"/>
    <col min="11" max="11" width="7.33203125" style="8" customWidth="1"/>
    <col min="12" max="12" width="2.77734375" style="8" customWidth="1"/>
    <col min="13" max="14" width="6.77734375" style="8" customWidth="1"/>
    <col min="15" max="15" width="8.77734375" style="8" customWidth="1"/>
    <col min="16" max="16" width="9.77734375" style="8" customWidth="1"/>
    <col min="17" max="17" width="6.77734375" style="8" customWidth="1"/>
    <col min="18" max="18" width="8.77734375" style="8" customWidth="1"/>
    <col min="19" max="20" width="6.77734375" style="8" customWidth="1"/>
    <col min="21" max="21" width="9.77734375" style="8" customWidth="1"/>
    <col min="22" max="22" width="8.88671875" style="22"/>
    <col min="23" max="23" width="5.77734375" style="8" customWidth="1"/>
    <col min="24" max="24" width="5.77734375" style="22" customWidth="1"/>
    <col min="25" max="25" width="5.77734375" style="8" customWidth="1"/>
    <col min="26" max="26" width="5.77734375" style="22" customWidth="1"/>
    <col min="27" max="27" width="5.77734375" style="8" customWidth="1"/>
    <col min="28" max="16384" width="8.88671875" style="8"/>
  </cols>
  <sheetData>
    <row r="1" spans="1:27" ht="15.95" customHeight="1" x14ac:dyDescent="0.15">
      <c r="A1" s="60" t="s">
        <v>233</v>
      </c>
    </row>
    <row r="3" spans="1:27" ht="15.95" customHeight="1" x14ac:dyDescent="0.15">
      <c r="B3" s="61" t="s">
        <v>102</v>
      </c>
    </row>
    <row r="4" spans="1:27" ht="15.95" customHeight="1" x14ac:dyDescent="0.15">
      <c r="V4" s="64" t="s">
        <v>200</v>
      </c>
      <c r="W4" s="8">
        <f>W18*Y18</f>
        <v>60</v>
      </c>
      <c r="X4" s="64" t="s">
        <v>201</v>
      </c>
      <c r="Y4" s="8">
        <f>Y18/2</f>
        <v>15</v>
      </c>
      <c r="Z4" s="64" t="s">
        <v>202</v>
      </c>
      <c r="AA4" s="8">
        <f>W17+Y16/2</f>
        <v>30</v>
      </c>
    </row>
    <row r="5" spans="1:27" ht="15.95" customHeight="1" x14ac:dyDescent="0.15">
      <c r="B5" s="62" t="s">
        <v>103</v>
      </c>
      <c r="C5" s="4" t="s">
        <v>101</v>
      </c>
      <c r="D5" s="26">
        <f>(SUMPRODUCT((N8:N10=N7)*(O7:P7=M7),O8:P10))</f>
        <v>0</v>
      </c>
      <c r="E5" s="27" t="s">
        <v>560</v>
      </c>
      <c r="H5" s="20" t="s">
        <v>113</v>
      </c>
      <c r="I5" s="33"/>
      <c r="M5" s="22"/>
      <c r="P5" s="2"/>
      <c r="Q5" s="2"/>
      <c r="V5" s="64" t="s">
        <v>203</v>
      </c>
      <c r="W5" s="8">
        <f>Y16*W16</f>
        <v>112</v>
      </c>
      <c r="X5" s="64" t="s">
        <v>204</v>
      </c>
      <c r="Y5" s="8">
        <f>Y18+W16/2</f>
        <v>31</v>
      </c>
      <c r="Z5" s="64" t="s">
        <v>205</v>
      </c>
      <c r="AA5" s="8">
        <f>W17+Y16/2</f>
        <v>30</v>
      </c>
    </row>
    <row r="6" spans="1:27" ht="15.95" customHeight="1" x14ac:dyDescent="0.15">
      <c r="B6" s="62" t="s">
        <v>235</v>
      </c>
      <c r="C6" s="4" t="s">
        <v>101</v>
      </c>
      <c r="D6" s="147">
        <f>710100/100*9.80665</f>
        <v>69637.021649999995</v>
      </c>
      <c r="E6" s="27" t="s">
        <v>561</v>
      </c>
      <c r="F6" s="64" t="s">
        <v>236</v>
      </c>
      <c r="G6" s="684">
        <v>5</v>
      </c>
      <c r="H6" s="20" t="s">
        <v>248</v>
      </c>
      <c r="I6" s="27"/>
      <c r="M6" s="782" t="s">
        <v>651</v>
      </c>
      <c r="N6" s="782"/>
      <c r="O6" s="163"/>
      <c r="P6" s="164"/>
      <c r="V6" s="64" t="s">
        <v>206</v>
      </c>
      <c r="W6" s="8">
        <f>Y16*W16</f>
        <v>112</v>
      </c>
      <c r="X6" s="64" t="s">
        <v>207</v>
      </c>
      <c r="Y6" s="8">
        <f>Y18+(Y17-W16)+W16/2</f>
        <v>149</v>
      </c>
      <c r="Z6" s="64" t="s">
        <v>208</v>
      </c>
      <c r="AA6" s="8">
        <f>W17+Y16/2</f>
        <v>30</v>
      </c>
    </row>
    <row r="7" spans="1:27" ht="15.95" customHeight="1" x14ac:dyDescent="0.15">
      <c r="B7" s="62" t="s">
        <v>104</v>
      </c>
      <c r="C7" s="4" t="s">
        <v>101</v>
      </c>
      <c r="D7" s="683">
        <v>1200</v>
      </c>
      <c r="E7" s="27" t="s">
        <v>562</v>
      </c>
      <c r="H7" s="20" t="s">
        <v>114</v>
      </c>
      <c r="M7" s="685" t="s">
        <v>649</v>
      </c>
      <c r="N7" s="686">
        <v>1</v>
      </c>
      <c r="O7" s="160" t="s">
        <v>649</v>
      </c>
      <c r="P7" s="160" t="s">
        <v>650</v>
      </c>
      <c r="V7" s="64" t="s">
        <v>209</v>
      </c>
      <c r="W7" s="8">
        <f>Y17*W17</f>
        <v>240</v>
      </c>
      <c r="X7" s="64" t="s">
        <v>210</v>
      </c>
      <c r="Y7" s="8">
        <f>Y18+Y17/2</f>
        <v>90</v>
      </c>
      <c r="Z7" s="64" t="s">
        <v>211</v>
      </c>
      <c r="AA7" s="8">
        <f>W17/2</f>
        <v>1</v>
      </c>
    </row>
    <row r="8" spans="1:27" ht="15.95" customHeight="1" x14ac:dyDescent="0.15">
      <c r="B8" s="62" t="s">
        <v>105</v>
      </c>
      <c r="C8" s="4" t="s">
        <v>101</v>
      </c>
      <c r="D8" s="683">
        <v>1500</v>
      </c>
      <c r="E8" s="27" t="s">
        <v>562</v>
      </c>
      <c r="H8" s="20" t="s">
        <v>115</v>
      </c>
      <c r="M8" s="165" t="s">
        <v>557</v>
      </c>
      <c r="N8" s="161">
        <v>1</v>
      </c>
      <c r="O8" s="162" t="str">
        <f>'WIND LOAD'!T7</f>
        <v>-</v>
      </c>
      <c r="P8" s="162">
        <f>'WIND LOAD'!U7</f>
        <v>0.96</v>
      </c>
      <c r="V8" s="64" t="s">
        <v>212</v>
      </c>
      <c r="W8" s="8">
        <f>Y17*W17</f>
        <v>240</v>
      </c>
      <c r="X8" s="64" t="s">
        <v>213</v>
      </c>
      <c r="Y8" s="8">
        <f>Y18+Y17/2</f>
        <v>90</v>
      </c>
      <c r="Z8" s="64" t="s">
        <v>214</v>
      </c>
      <c r="AA8" s="8">
        <f>W17+Y16+W17/2</f>
        <v>59</v>
      </c>
    </row>
    <row r="9" spans="1:27" ht="15.95" customHeight="1" x14ac:dyDescent="0.15">
      <c r="B9" s="64" t="s">
        <v>106</v>
      </c>
      <c r="C9" s="4" t="s">
        <v>101</v>
      </c>
      <c r="D9" s="683">
        <v>5000</v>
      </c>
      <c r="E9" s="27" t="s">
        <v>562</v>
      </c>
      <c r="H9" s="20" t="s">
        <v>443</v>
      </c>
      <c r="I9" s="27"/>
      <c r="M9" s="165" t="s">
        <v>558</v>
      </c>
      <c r="N9" s="161">
        <v>2</v>
      </c>
      <c r="O9" s="162" t="str">
        <f>'WIND LOAD'!T8</f>
        <v>-</v>
      </c>
      <c r="P9" s="162">
        <f>'WIND LOAD'!U8</f>
        <v>-0.82599999999999996</v>
      </c>
      <c r="V9" s="64"/>
      <c r="X9" s="64"/>
      <c r="Z9" s="64"/>
    </row>
    <row r="10" spans="1:27" ht="15.95" customHeight="1" x14ac:dyDescent="0.15">
      <c r="B10" s="64" t="s">
        <v>107</v>
      </c>
      <c r="C10" s="4" t="s">
        <v>101</v>
      </c>
      <c r="D10" s="683">
        <v>250</v>
      </c>
      <c r="E10" s="27" t="s">
        <v>562</v>
      </c>
      <c r="H10" s="20" t="s">
        <v>444</v>
      </c>
      <c r="I10" s="27"/>
      <c r="M10" s="165" t="s">
        <v>559</v>
      </c>
      <c r="N10" s="161">
        <v>3</v>
      </c>
      <c r="O10" s="162" t="str">
        <f>'WIND LOAD'!T9</f>
        <v>-</v>
      </c>
      <c r="P10" s="162">
        <f>'WIND LOAD'!U9</f>
        <v>-0.98899999999999999</v>
      </c>
      <c r="V10" s="64" t="s">
        <v>215</v>
      </c>
      <c r="W10" s="8">
        <f>Y4-AA12</f>
        <v>-69.109947643979055</v>
      </c>
      <c r="X10" s="64" t="s">
        <v>216</v>
      </c>
      <c r="Y10" s="8">
        <f>AA4-AA13</f>
        <v>0</v>
      </c>
      <c r="Z10" s="64" t="s">
        <v>217</v>
      </c>
      <c r="AA10" s="8">
        <f>W4*Y4+W5*Y5+W6*Y6+W7*Y7+W8*Y8</f>
        <v>64260</v>
      </c>
    </row>
    <row r="11" spans="1:27" ht="15.95" customHeight="1" x14ac:dyDescent="0.15">
      <c r="B11" s="64" t="s">
        <v>108</v>
      </c>
      <c r="C11" s="4" t="s">
        <v>101</v>
      </c>
      <c r="D11" s="151">
        <f>D9-D10</f>
        <v>4750</v>
      </c>
      <c r="E11" s="27" t="s">
        <v>562</v>
      </c>
      <c r="H11" s="20" t="s">
        <v>445</v>
      </c>
      <c r="V11" s="64" t="s">
        <v>219</v>
      </c>
      <c r="W11" s="8">
        <f>Y5-AA12</f>
        <v>-53.109947643979055</v>
      </c>
      <c r="X11" s="64" t="s">
        <v>220</v>
      </c>
      <c r="Y11" s="8">
        <f>AA5-AA13</f>
        <v>0</v>
      </c>
      <c r="Z11" s="64" t="s">
        <v>221</v>
      </c>
      <c r="AA11" s="8">
        <f>W4*AA4+W5*AA5+W6*AA6+W7*AA7+W8*AA8</f>
        <v>22920</v>
      </c>
    </row>
    <row r="12" spans="1:27" ht="15.95" customHeight="1" x14ac:dyDescent="0.15">
      <c r="B12" s="64" t="s">
        <v>442</v>
      </c>
      <c r="C12" s="4" t="s">
        <v>101</v>
      </c>
      <c r="D12" s="683">
        <v>2600</v>
      </c>
      <c r="E12" s="27" t="s">
        <v>562</v>
      </c>
      <c r="H12" s="20" t="s">
        <v>116</v>
      </c>
      <c r="V12" s="64" t="s">
        <v>222</v>
      </c>
      <c r="W12" s="8">
        <f>Y6-AA12</f>
        <v>64.890052356020945</v>
      </c>
      <c r="X12" s="64" t="s">
        <v>223</v>
      </c>
      <c r="Y12" s="8">
        <f>AA6-AA13</f>
        <v>0</v>
      </c>
      <c r="Z12" s="64" t="s">
        <v>224</v>
      </c>
      <c r="AA12" s="8">
        <f>AA10/(W4+W5+W6+W7+W8)</f>
        <v>84.109947643979055</v>
      </c>
    </row>
    <row r="13" spans="1:27" ht="15.95" customHeight="1" x14ac:dyDescent="0.15">
      <c r="M13" s="140"/>
      <c r="N13" s="786"/>
      <c r="O13" s="786"/>
      <c r="V13" s="64" t="s">
        <v>225</v>
      </c>
      <c r="W13" s="8">
        <f>Y7-AA12</f>
        <v>5.890052356020945</v>
      </c>
      <c r="X13" s="64" t="s">
        <v>226</v>
      </c>
      <c r="Y13" s="8">
        <f>AA7-AA13</f>
        <v>-29</v>
      </c>
      <c r="Z13" s="64" t="s">
        <v>227</v>
      </c>
      <c r="AA13" s="8">
        <f>AA11/(W4+W5+W6+W7+W8)</f>
        <v>30</v>
      </c>
    </row>
    <row r="14" spans="1:27" ht="15.95" customHeight="1" x14ac:dyDescent="0.15">
      <c r="B14" s="20" t="s">
        <v>109</v>
      </c>
      <c r="C14" s="4" t="s">
        <v>101</v>
      </c>
      <c r="D14" s="147">
        <f>(J85-J177)</f>
        <v>0</v>
      </c>
      <c r="E14" s="27" t="s">
        <v>618</v>
      </c>
      <c r="F14" s="20"/>
      <c r="H14" s="137" t="s">
        <v>110</v>
      </c>
      <c r="I14" s="4" t="s">
        <v>101</v>
      </c>
      <c r="J14" s="92">
        <f>D222</f>
        <v>0</v>
      </c>
      <c r="K14" s="67" t="str">
        <f>IF(J14&lt;1,"O.K","N.G")</f>
        <v>O.K</v>
      </c>
      <c r="M14" s="140"/>
      <c r="N14" s="786"/>
      <c r="O14" s="786"/>
      <c r="V14" s="64" t="s">
        <v>228</v>
      </c>
      <c r="W14" s="8">
        <f>Y8-AA12</f>
        <v>5.890052356020945</v>
      </c>
      <c r="X14" s="64" t="s">
        <v>229</v>
      </c>
      <c r="Y14" s="8">
        <f>AA8-AA13</f>
        <v>29</v>
      </c>
      <c r="Z14" s="64" t="s">
        <v>230</v>
      </c>
      <c r="AA14" s="8">
        <f>((W18*Y18*Y18*Y18)/12+W4*W10*W10)+((Y16*W16*W16*W16)/12+W5*W11*W11)+((Y16*W16*W16*W16)/12+W6*W12*W12)+((W17*Y17*Y17*Y17)/12+W7*W13*W13)+((W17*Y17*Y17*Y17)/12+W8*W14*W14)</f>
        <v>1671313.4310645724</v>
      </c>
    </row>
    <row r="15" spans="1:27" ht="15.95" customHeight="1" x14ac:dyDescent="0.15">
      <c r="O15" s="2"/>
      <c r="P15" s="147"/>
      <c r="Q15" s="27"/>
      <c r="Z15" s="64" t="s">
        <v>231</v>
      </c>
      <c r="AA15" s="8">
        <f>((Y18*W18*W18*W18)/12+W4*Y10*Y10)+((W16*Y16*Y16*Y16)/12+W5*Y11*Y11)+((W16*Y16*Y16*Y16)/12+W6*Y12*Y12)+((Y17*W17*W17*W17)/12+W7*Y13*Y13)+((Y17*W17*W17*W17)/12+W8*Y14*Y14)</f>
        <v>462398.66666666663</v>
      </c>
    </row>
    <row r="16" spans="1:27" ht="15.95" customHeight="1" x14ac:dyDescent="0.15">
      <c r="B16" s="20" t="s">
        <v>587</v>
      </c>
      <c r="C16" s="4" t="s">
        <v>101</v>
      </c>
      <c r="D16" s="63">
        <f>D91-D183+(D88+D180)/2</f>
        <v>0</v>
      </c>
      <c r="E16" s="27" t="s">
        <v>562</v>
      </c>
      <c r="F16" s="20"/>
      <c r="O16" s="2"/>
      <c r="P16" s="414"/>
      <c r="Q16" s="2"/>
      <c r="V16" s="64" t="s">
        <v>566</v>
      </c>
      <c r="W16" s="8">
        <f>O26</f>
        <v>2</v>
      </c>
      <c r="X16" s="64" t="s">
        <v>569</v>
      </c>
      <c r="Y16" s="8">
        <f>O30</f>
        <v>56</v>
      </c>
    </row>
    <row r="17" spans="2:25" ht="15.95" customHeight="1" x14ac:dyDescent="0.15">
      <c r="B17" s="20" t="s">
        <v>588</v>
      </c>
      <c r="C17" s="4" t="s">
        <v>44</v>
      </c>
      <c r="D17" s="63">
        <f>D242</f>
        <v>27.18333333333333</v>
      </c>
      <c r="E17" s="27" t="s">
        <v>562</v>
      </c>
      <c r="H17" s="64" t="s">
        <v>112</v>
      </c>
      <c r="I17" s="4" t="s">
        <v>101</v>
      </c>
      <c r="J17" s="92">
        <f>D247</f>
        <v>0</v>
      </c>
      <c r="K17" s="67" t="str">
        <f>IF(J17&lt;1,"O.K","N.G")</f>
        <v>O.K</v>
      </c>
      <c r="O17" s="2"/>
      <c r="P17" s="412"/>
      <c r="Q17" s="27"/>
      <c r="V17" s="64" t="s">
        <v>565</v>
      </c>
      <c r="W17" s="8">
        <f>O27</f>
        <v>2</v>
      </c>
      <c r="X17" s="64" t="s">
        <v>567</v>
      </c>
      <c r="Y17" s="8">
        <f>O24</f>
        <v>120</v>
      </c>
    </row>
    <row r="18" spans="2:25" ht="15.95" customHeight="1" x14ac:dyDescent="0.15">
      <c r="O18" s="2"/>
      <c r="P18" s="414"/>
      <c r="Q18" s="2"/>
      <c r="V18" s="64" t="s">
        <v>571</v>
      </c>
      <c r="W18" s="8">
        <f>O28</f>
        <v>2</v>
      </c>
      <c r="X18" s="64" t="s">
        <v>568</v>
      </c>
      <c r="Y18" s="8">
        <f>O25</f>
        <v>30</v>
      </c>
    </row>
    <row r="19" spans="2:25" ht="15.95" customHeight="1" x14ac:dyDescent="0.15">
      <c r="B19" s="62"/>
      <c r="C19" s="66"/>
      <c r="D19" s="4"/>
    </row>
    <row r="20" spans="2:25" ht="15.95" customHeight="1" x14ac:dyDescent="0.15">
      <c r="B20" s="61" t="s">
        <v>122</v>
      </c>
      <c r="E20" s="33"/>
      <c r="H20" s="61" t="s">
        <v>589</v>
      </c>
      <c r="J20" s="682">
        <v>1</v>
      </c>
      <c r="N20" s="8" t="s">
        <v>578</v>
      </c>
      <c r="Q20" s="4" t="s">
        <v>251</v>
      </c>
    </row>
    <row r="21" spans="2:25" ht="15.95" customHeight="1" thickBot="1" x14ac:dyDescent="0.2">
      <c r="K21" s="65"/>
      <c r="L21" s="65"/>
      <c r="M21" s="65"/>
    </row>
    <row r="22" spans="2:25" ht="15.95" customHeight="1" thickBot="1" x14ac:dyDescent="0.2">
      <c r="B22" s="121"/>
      <c r="C22" s="122"/>
      <c r="D22" s="122"/>
      <c r="E22" s="122"/>
      <c r="F22" s="122"/>
      <c r="G22" s="784"/>
      <c r="H22" s="784"/>
      <c r="I22" s="784"/>
      <c r="J22" s="784"/>
      <c r="K22" s="785"/>
      <c r="N22" s="121" t="s">
        <v>333</v>
      </c>
      <c r="O22" s="122"/>
      <c r="P22" s="122"/>
      <c r="Q22" s="121" t="s">
        <v>334</v>
      </c>
      <c r="R22" s="122"/>
      <c r="S22" s="123"/>
    </row>
    <row r="23" spans="2:25" ht="15.95" customHeight="1" x14ac:dyDescent="0.15">
      <c r="B23" s="75"/>
      <c r="G23" s="786"/>
      <c r="H23" s="786"/>
      <c r="I23" s="786"/>
      <c r="J23" s="786"/>
      <c r="K23" s="787"/>
      <c r="N23" s="68" t="s">
        <v>242</v>
      </c>
      <c r="O23" s="687">
        <v>60</v>
      </c>
      <c r="P23" s="129" t="s">
        <v>572</v>
      </c>
      <c r="Q23" s="68" t="s">
        <v>57</v>
      </c>
      <c r="R23" s="687">
        <v>60</v>
      </c>
      <c r="S23" s="69" t="s">
        <v>572</v>
      </c>
    </row>
    <row r="24" spans="2:25" ht="15.95" customHeight="1" x14ac:dyDescent="0.15">
      <c r="B24" s="75"/>
      <c r="G24" s="786"/>
      <c r="H24" s="786"/>
      <c r="I24" s="786"/>
      <c r="J24" s="786"/>
      <c r="K24" s="787"/>
      <c r="N24" s="55" t="s">
        <v>244</v>
      </c>
      <c r="O24" s="688">
        <v>120</v>
      </c>
      <c r="P24" s="27" t="s">
        <v>572</v>
      </c>
      <c r="Q24" s="55" t="s">
        <v>244</v>
      </c>
      <c r="R24" s="688">
        <v>120</v>
      </c>
      <c r="S24" s="70" t="s">
        <v>572</v>
      </c>
    </row>
    <row r="25" spans="2:25" ht="15.95" customHeight="1" x14ac:dyDescent="0.15">
      <c r="B25" s="75"/>
      <c r="G25" s="786"/>
      <c r="H25" s="786"/>
      <c r="I25" s="786"/>
      <c r="J25" s="786"/>
      <c r="K25" s="787"/>
      <c r="N25" s="55" t="s">
        <v>249</v>
      </c>
      <c r="O25" s="688">
        <v>30</v>
      </c>
      <c r="P25" s="27" t="s">
        <v>572</v>
      </c>
      <c r="Q25" s="75"/>
      <c r="R25" s="689"/>
      <c r="S25" s="94"/>
    </row>
    <row r="26" spans="2:25" ht="15.95" customHeight="1" x14ac:dyDescent="0.15">
      <c r="B26" s="75"/>
      <c r="G26" s="786"/>
      <c r="H26" s="786"/>
      <c r="I26" s="786"/>
      <c r="J26" s="786"/>
      <c r="K26" s="787"/>
      <c r="N26" s="55" t="s">
        <v>118</v>
      </c>
      <c r="O26" s="688">
        <v>2</v>
      </c>
      <c r="P26" s="27" t="s">
        <v>572</v>
      </c>
      <c r="Q26" s="55" t="s">
        <v>393</v>
      </c>
      <c r="R26" s="688">
        <v>2</v>
      </c>
      <c r="S26" s="70" t="s">
        <v>572</v>
      </c>
    </row>
    <row r="27" spans="2:25" ht="15.95" customHeight="1" x14ac:dyDescent="0.15">
      <c r="B27" s="75"/>
      <c r="G27" s="786"/>
      <c r="H27" s="786"/>
      <c r="I27" s="786"/>
      <c r="J27" s="786"/>
      <c r="K27" s="787"/>
      <c r="N27" s="55" t="s">
        <v>570</v>
      </c>
      <c r="O27" s="688">
        <v>2</v>
      </c>
      <c r="P27" s="27" t="s">
        <v>572</v>
      </c>
      <c r="Q27" s="55" t="s">
        <v>394</v>
      </c>
      <c r="R27" s="690">
        <v>2</v>
      </c>
      <c r="S27" s="70" t="s">
        <v>572</v>
      </c>
    </row>
    <row r="28" spans="2:25" ht="15.95" customHeight="1" thickBot="1" x14ac:dyDescent="0.2">
      <c r="B28" s="75"/>
      <c r="G28" s="786"/>
      <c r="H28" s="786"/>
      <c r="I28" s="786"/>
      <c r="J28" s="786"/>
      <c r="K28" s="787"/>
      <c r="N28" s="55" t="s">
        <v>237</v>
      </c>
      <c r="O28" s="688">
        <v>2</v>
      </c>
      <c r="P28" s="27" t="s">
        <v>572</v>
      </c>
      <c r="Q28" s="75"/>
      <c r="R28" s="689"/>
      <c r="S28" s="94"/>
    </row>
    <row r="29" spans="2:25" ht="15.95" customHeight="1" x14ac:dyDescent="0.15">
      <c r="B29" s="75"/>
      <c r="G29" s="786"/>
      <c r="H29" s="786"/>
      <c r="I29" s="786"/>
      <c r="J29" s="786"/>
      <c r="K29" s="787"/>
      <c r="N29" s="68" t="s">
        <v>241</v>
      </c>
      <c r="O29" s="126">
        <f>O24+O25</f>
        <v>150</v>
      </c>
      <c r="P29" s="69" t="s">
        <v>562</v>
      </c>
      <c r="Q29" s="75"/>
      <c r="R29" s="689"/>
      <c r="S29" s="94"/>
    </row>
    <row r="30" spans="2:25" ht="15.95" customHeight="1" x14ac:dyDescent="0.15">
      <c r="B30" s="75"/>
      <c r="G30" s="786"/>
      <c r="H30" s="786"/>
      <c r="I30" s="786"/>
      <c r="J30" s="786"/>
      <c r="K30" s="787"/>
      <c r="N30" s="55" t="s">
        <v>243</v>
      </c>
      <c r="O30" s="7">
        <f>O23-2*O27</f>
        <v>56</v>
      </c>
      <c r="P30" s="27" t="s">
        <v>562</v>
      </c>
      <c r="Q30" s="75"/>
      <c r="R30" s="689"/>
      <c r="S30" s="94"/>
    </row>
    <row r="31" spans="2:25" ht="15.95" customHeight="1" x14ac:dyDescent="0.15">
      <c r="B31" s="75"/>
      <c r="G31" s="786"/>
      <c r="H31" s="786"/>
      <c r="I31" s="786"/>
      <c r="J31" s="786"/>
      <c r="K31" s="787"/>
      <c r="N31" s="55" t="s">
        <v>238</v>
      </c>
      <c r="O31" s="7">
        <f>AA14</f>
        <v>1671313.4310645724</v>
      </c>
      <c r="P31" s="27" t="s">
        <v>573</v>
      </c>
      <c r="Q31" s="55" t="s">
        <v>238</v>
      </c>
      <c r="R31" s="688">
        <v>3779510</v>
      </c>
      <c r="S31" s="70" t="s">
        <v>573</v>
      </c>
    </row>
    <row r="32" spans="2:25" ht="15.95" customHeight="1" x14ac:dyDescent="0.15">
      <c r="B32" s="75"/>
      <c r="G32" s="786"/>
      <c r="H32" s="786"/>
      <c r="I32" s="786"/>
      <c r="J32" s="786"/>
      <c r="K32" s="787"/>
      <c r="N32" s="55" t="s">
        <v>239</v>
      </c>
      <c r="O32" s="7">
        <f>AA15</f>
        <v>462398.66666666663</v>
      </c>
      <c r="P32" s="27" t="s">
        <v>573</v>
      </c>
      <c r="Q32" s="55" t="s">
        <v>239</v>
      </c>
      <c r="R32" s="688">
        <v>652452</v>
      </c>
      <c r="S32" s="70" t="s">
        <v>576</v>
      </c>
    </row>
    <row r="33" spans="2:21" ht="15.95" customHeight="1" x14ac:dyDescent="0.15">
      <c r="B33" s="75"/>
      <c r="G33" s="786"/>
      <c r="H33" s="786"/>
      <c r="I33" s="786"/>
      <c r="J33" s="786"/>
      <c r="K33" s="787"/>
      <c r="N33" s="55" t="s">
        <v>1092</v>
      </c>
      <c r="O33" s="7">
        <f>AA13</f>
        <v>30</v>
      </c>
      <c r="P33" s="27" t="s">
        <v>562</v>
      </c>
      <c r="Q33" s="55" t="s">
        <v>1092</v>
      </c>
      <c r="R33" s="688">
        <v>30</v>
      </c>
      <c r="S33" s="70" t="s">
        <v>572</v>
      </c>
    </row>
    <row r="34" spans="2:21" ht="15.95" customHeight="1" x14ac:dyDescent="0.15">
      <c r="B34" s="55" t="s">
        <v>241</v>
      </c>
      <c r="C34" s="4" t="s">
        <v>199</v>
      </c>
      <c r="D34" s="130">
        <f>IF($J$20=1, O29,Q20)</f>
        <v>150</v>
      </c>
      <c r="E34" s="27" t="s">
        <v>572</v>
      </c>
      <c r="F34" s="73"/>
      <c r="G34" s="786"/>
      <c r="H34" s="786"/>
      <c r="I34" s="786"/>
      <c r="J34" s="786"/>
      <c r="K34" s="787"/>
      <c r="N34" s="55" t="s">
        <v>1093</v>
      </c>
      <c r="O34" s="7">
        <f>AA12</f>
        <v>84.109947643979055</v>
      </c>
      <c r="P34" s="27" t="s">
        <v>562</v>
      </c>
      <c r="Q34" s="55" t="s">
        <v>1093</v>
      </c>
      <c r="R34" s="688">
        <v>95.14</v>
      </c>
      <c r="S34" s="70" t="s">
        <v>572</v>
      </c>
    </row>
    <row r="35" spans="2:21" ht="15.95" customHeight="1" x14ac:dyDescent="0.15">
      <c r="B35" s="55" t="s">
        <v>242</v>
      </c>
      <c r="C35" s="4" t="s">
        <v>199</v>
      </c>
      <c r="D35" s="130">
        <f>IF($J$20=1, O23,Q20)</f>
        <v>60</v>
      </c>
      <c r="E35" s="27" t="s">
        <v>572</v>
      </c>
      <c r="G35" s="786"/>
      <c r="H35" s="786"/>
      <c r="I35" s="786"/>
      <c r="J35" s="786"/>
      <c r="K35" s="787"/>
      <c r="N35" s="55" t="s">
        <v>240</v>
      </c>
      <c r="O35" s="7">
        <f>O31/O34</f>
        <v>19870.579852681814</v>
      </c>
      <c r="P35" s="27" t="s">
        <v>574</v>
      </c>
      <c r="Q35" s="55" t="s">
        <v>240</v>
      </c>
      <c r="R35" s="688">
        <f>R31/R34</f>
        <v>39725.772545722095</v>
      </c>
      <c r="S35" s="70" t="s">
        <v>577</v>
      </c>
    </row>
    <row r="36" spans="2:21" ht="15.95" customHeight="1" thickBot="1" x14ac:dyDescent="0.2">
      <c r="B36" s="55" t="s">
        <v>244</v>
      </c>
      <c r="C36" s="4" t="s">
        <v>199</v>
      </c>
      <c r="D36" s="130">
        <f>IF($J$20=1, O24,Q20)</f>
        <v>120</v>
      </c>
      <c r="E36" s="27" t="s">
        <v>572</v>
      </c>
      <c r="F36" s="73"/>
      <c r="G36" s="786"/>
      <c r="H36" s="786"/>
      <c r="I36" s="786"/>
      <c r="J36" s="786"/>
      <c r="K36" s="787"/>
      <c r="N36" s="71" t="s">
        <v>395</v>
      </c>
      <c r="O36" s="127">
        <f>(2*O27*O26*(O23-O27)^2*(O24-O26)^2)/((O23*O27)+(O24*O26)-O27^2-O26^2)</f>
        <v>1064553.0909090908</v>
      </c>
      <c r="P36" s="128" t="s">
        <v>574</v>
      </c>
      <c r="Q36" s="71" t="s">
        <v>392</v>
      </c>
      <c r="R36" s="127">
        <f>(2*R27*R26*(R23-R27)^2*(R24-R26)^2)/((R23*R27)+(R24*R26)-R27^2-R26^2)</f>
        <v>1064553.0909090908</v>
      </c>
      <c r="S36" s="72" t="s">
        <v>575</v>
      </c>
    </row>
    <row r="37" spans="2:21" ht="15.95" customHeight="1" x14ac:dyDescent="0.15">
      <c r="B37" s="55" t="s">
        <v>623</v>
      </c>
      <c r="C37" s="4" t="s">
        <v>4</v>
      </c>
      <c r="D37" s="130">
        <f>IF($J$20=1, O25,Q20)</f>
        <v>30</v>
      </c>
      <c r="E37" s="27" t="s">
        <v>572</v>
      </c>
      <c r="F37" s="73"/>
      <c r="G37" s="786"/>
      <c r="H37" s="786"/>
      <c r="I37" s="786"/>
      <c r="J37" s="786"/>
      <c r="K37" s="787"/>
    </row>
    <row r="38" spans="2:21" ht="15.95" customHeight="1" x14ac:dyDescent="0.15">
      <c r="B38" s="55" t="s">
        <v>118</v>
      </c>
      <c r="C38" s="4" t="s">
        <v>4</v>
      </c>
      <c r="D38" s="130">
        <f>IF($J$20=1, O26,Q20)</f>
        <v>2</v>
      </c>
      <c r="E38" s="27" t="s">
        <v>572</v>
      </c>
      <c r="F38" s="73"/>
      <c r="G38" s="786"/>
      <c r="H38" s="786"/>
      <c r="I38" s="786"/>
      <c r="J38" s="786"/>
      <c r="K38" s="787"/>
      <c r="N38" s="8" t="s">
        <v>250</v>
      </c>
    </row>
    <row r="39" spans="2:21" ht="15.95" customHeight="1" thickBot="1" x14ac:dyDescent="0.2">
      <c r="B39" s="55" t="s">
        <v>570</v>
      </c>
      <c r="C39" s="4" t="s">
        <v>199</v>
      </c>
      <c r="D39" s="130">
        <f>IF($J$20=1, O27,Q20)</f>
        <v>2</v>
      </c>
      <c r="E39" s="27" t="s">
        <v>572</v>
      </c>
      <c r="G39" s="786"/>
      <c r="H39" s="786"/>
      <c r="I39" s="786"/>
      <c r="J39" s="786"/>
      <c r="K39" s="787"/>
      <c r="L39" s="65"/>
      <c r="M39" s="65"/>
      <c r="N39" s="8" t="s">
        <v>564</v>
      </c>
      <c r="S39" s="53"/>
      <c r="T39" s="54"/>
    </row>
    <row r="40" spans="2:21" ht="15.95" customHeight="1" x14ac:dyDescent="0.15">
      <c r="B40" s="55" t="s">
        <v>237</v>
      </c>
      <c r="C40" s="4" t="s">
        <v>181</v>
      </c>
      <c r="D40" s="130">
        <f>IF($J$20=1, O28,Q20)</f>
        <v>2</v>
      </c>
      <c r="E40" s="27" t="s">
        <v>572</v>
      </c>
      <c r="F40" s="73"/>
      <c r="G40" s="786"/>
      <c r="H40" s="786"/>
      <c r="I40" s="786"/>
      <c r="J40" s="786"/>
      <c r="K40" s="787"/>
      <c r="L40" s="65"/>
      <c r="M40" s="65"/>
      <c r="N40" s="68" t="s">
        <v>238</v>
      </c>
      <c r="O40" s="126">
        <f t="shared" ref="O40:O45" si="0">IF($J$20=1, O31,R31)</f>
        <v>1671313.4310645724</v>
      </c>
      <c r="P40" s="69" t="s">
        <v>573</v>
      </c>
      <c r="Q40" s="56" t="s">
        <v>396</v>
      </c>
      <c r="R40" s="126">
        <f>IF($J$20=1, O30,R23-R27*2)</f>
        <v>56</v>
      </c>
      <c r="S40" s="69" t="s">
        <v>572</v>
      </c>
      <c r="T40" s="28"/>
      <c r="U40" s="28"/>
    </row>
    <row r="41" spans="2:21" ht="15.95" customHeight="1" x14ac:dyDescent="0.15">
      <c r="B41" s="55" t="s">
        <v>407</v>
      </c>
      <c r="C41" s="4" t="s">
        <v>218</v>
      </c>
      <c r="D41" s="142">
        <f>O40</f>
        <v>1671313.4310645724</v>
      </c>
      <c r="E41" s="27" t="s">
        <v>573</v>
      </c>
      <c r="F41" s="73"/>
      <c r="G41" s="786"/>
      <c r="H41" s="786"/>
      <c r="I41" s="786"/>
      <c r="J41" s="786"/>
      <c r="K41" s="787"/>
      <c r="L41" s="65"/>
      <c r="M41" s="65"/>
      <c r="N41" s="55" t="s">
        <v>239</v>
      </c>
      <c r="O41" s="7">
        <f t="shared" si="0"/>
        <v>462398.66666666663</v>
      </c>
      <c r="P41" s="27" t="s">
        <v>573</v>
      </c>
      <c r="Q41" s="57" t="s">
        <v>397</v>
      </c>
      <c r="R41" s="7">
        <f>IF($J$20=1, O24-2*O26,R24-R26*2)</f>
        <v>116</v>
      </c>
      <c r="S41" s="70" t="s">
        <v>572</v>
      </c>
      <c r="U41" s="28"/>
    </row>
    <row r="42" spans="2:21" ht="15.95" customHeight="1" x14ac:dyDescent="0.15">
      <c r="B42" s="55" t="s">
        <v>408</v>
      </c>
      <c r="C42" s="4" t="s">
        <v>218</v>
      </c>
      <c r="D42" s="142">
        <f>O41</f>
        <v>462398.66666666663</v>
      </c>
      <c r="E42" s="27" t="s">
        <v>573</v>
      </c>
      <c r="F42" s="73"/>
      <c r="G42" s="786"/>
      <c r="H42" s="786"/>
      <c r="I42" s="786"/>
      <c r="J42" s="786"/>
      <c r="K42" s="787"/>
      <c r="L42" s="65"/>
      <c r="M42" s="65"/>
      <c r="N42" s="55" t="s">
        <v>1092</v>
      </c>
      <c r="O42" s="7">
        <f t="shared" si="0"/>
        <v>30</v>
      </c>
      <c r="P42" s="27" t="s">
        <v>562</v>
      </c>
      <c r="Q42" s="57" t="s">
        <v>398</v>
      </c>
      <c r="R42" s="7">
        <f>IF($J$20=1, O26,R26)</f>
        <v>2</v>
      </c>
      <c r="S42" s="70" t="s">
        <v>572</v>
      </c>
      <c r="T42" s="74"/>
      <c r="U42" s="28"/>
    </row>
    <row r="43" spans="2:21" ht="15.95" customHeight="1" x14ac:dyDescent="0.15">
      <c r="B43" s="55" t="s">
        <v>1092</v>
      </c>
      <c r="C43" s="4" t="s">
        <v>218</v>
      </c>
      <c r="D43" s="148">
        <f>O42</f>
        <v>30</v>
      </c>
      <c r="E43" s="27" t="s">
        <v>562</v>
      </c>
      <c r="F43" s="73"/>
      <c r="G43" s="786"/>
      <c r="H43" s="786"/>
      <c r="I43" s="786"/>
      <c r="J43" s="786"/>
      <c r="K43" s="787"/>
      <c r="L43" s="65"/>
      <c r="M43" s="65"/>
      <c r="N43" s="55" t="s">
        <v>1093</v>
      </c>
      <c r="O43" s="7">
        <f t="shared" si="0"/>
        <v>84.109947643979055</v>
      </c>
      <c r="P43" s="27" t="s">
        <v>562</v>
      </c>
      <c r="Q43" s="57" t="s">
        <v>399</v>
      </c>
      <c r="R43" s="133">
        <f>IF($J$20=1, O27,R27)</f>
        <v>2</v>
      </c>
      <c r="S43" s="70" t="s">
        <v>572</v>
      </c>
      <c r="T43" s="74"/>
      <c r="U43" s="28"/>
    </row>
    <row r="44" spans="2:21" ht="15.95" customHeight="1" x14ac:dyDescent="0.15">
      <c r="B44" s="55" t="s">
        <v>406</v>
      </c>
      <c r="C44" s="4" t="s">
        <v>218</v>
      </c>
      <c r="D44" s="142">
        <f t="shared" ref="D44:D45" si="1">O44</f>
        <v>19870.579852681814</v>
      </c>
      <c r="E44" s="27" t="s">
        <v>574</v>
      </c>
      <c r="F44" s="73"/>
      <c r="G44" s="786"/>
      <c r="H44" s="786"/>
      <c r="I44" s="786"/>
      <c r="J44" s="786"/>
      <c r="K44" s="787"/>
      <c r="L44" s="65"/>
      <c r="M44" s="65"/>
      <c r="N44" s="55" t="s">
        <v>240</v>
      </c>
      <c r="O44" s="7">
        <f t="shared" si="0"/>
        <v>19870.579852681814</v>
      </c>
      <c r="P44" s="27" t="s">
        <v>574</v>
      </c>
      <c r="Q44" s="75"/>
      <c r="R44" s="65"/>
      <c r="S44" s="76"/>
      <c r="T44" s="74"/>
      <c r="U44" s="28"/>
    </row>
    <row r="45" spans="2:21" ht="15.95" customHeight="1" thickBot="1" x14ac:dyDescent="0.2">
      <c r="B45" s="71" t="s">
        <v>395</v>
      </c>
      <c r="C45" s="17" t="s">
        <v>218</v>
      </c>
      <c r="D45" s="143">
        <f t="shared" si="1"/>
        <v>1064553.0909090908</v>
      </c>
      <c r="E45" s="128" t="s">
        <v>574</v>
      </c>
      <c r="F45" s="138"/>
      <c r="G45" s="788"/>
      <c r="H45" s="788"/>
      <c r="I45" s="788"/>
      <c r="J45" s="788"/>
      <c r="K45" s="789"/>
      <c r="L45" s="65"/>
      <c r="M45" s="65"/>
      <c r="N45" s="71" t="s">
        <v>395</v>
      </c>
      <c r="O45" s="127">
        <f t="shared" si="0"/>
        <v>1064553.0909090908</v>
      </c>
      <c r="P45" s="128" t="s">
        <v>574</v>
      </c>
      <c r="Q45" s="78"/>
      <c r="R45" s="77"/>
      <c r="S45" s="79"/>
      <c r="T45" s="74"/>
      <c r="U45" s="28"/>
    </row>
    <row r="46" spans="2:21" ht="15.95" customHeight="1" x14ac:dyDescent="0.15">
      <c r="B46" s="796" t="s">
        <v>1217</v>
      </c>
      <c r="C46" s="796"/>
      <c r="D46" s="796"/>
      <c r="E46" s="796"/>
      <c r="F46" s="796"/>
      <c r="G46" s="796"/>
      <c r="H46" s="796"/>
      <c r="I46" s="796"/>
      <c r="J46" s="796"/>
      <c r="K46" s="796"/>
      <c r="L46" s="65"/>
      <c r="M46" s="65"/>
    </row>
    <row r="47" spans="2:21" ht="15.95" hidden="1" customHeight="1" x14ac:dyDescent="0.15">
      <c r="B47" s="61" t="s">
        <v>128</v>
      </c>
    </row>
    <row r="48" spans="2:21" ht="15.95" hidden="1" customHeight="1" x14ac:dyDescent="0.15"/>
    <row r="49" spans="1:8" ht="15.95" hidden="1" customHeight="1" x14ac:dyDescent="0.15">
      <c r="B49" s="27" t="s">
        <v>245</v>
      </c>
    </row>
    <row r="50" spans="1:8" ht="15.95" hidden="1" customHeight="1" x14ac:dyDescent="0.15">
      <c r="A50" s="33"/>
    </row>
    <row r="51" spans="1:8" ht="15.95" hidden="1" customHeight="1" x14ac:dyDescent="0.15">
      <c r="A51" s="33"/>
    </row>
    <row r="52" spans="1:8" ht="15.95" hidden="1" customHeight="1" x14ac:dyDescent="0.15">
      <c r="A52" s="33"/>
    </row>
    <row r="53" spans="1:8" ht="15.95" hidden="1" customHeight="1" x14ac:dyDescent="0.15">
      <c r="A53" s="33"/>
    </row>
    <row r="54" spans="1:8" ht="15.95" hidden="1" customHeight="1" x14ac:dyDescent="0.15">
      <c r="A54" s="33"/>
    </row>
    <row r="55" spans="1:8" ht="15.95" hidden="1" customHeight="1" x14ac:dyDescent="0.15">
      <c r="A55" s="33"/>
    </row>
    <row r="56" spans="1:8" ht="15.95" hidden="1" customHeight="1" x14ac:dyDescent="0.15">
      <c r="A56" s="33"/>
    </row>
    <row r="57" spans="1:8" ht="15.95" hidden="1" customHeight="1" x14ac:dyDescent="0.15">
      <c r="A57" s="33"/>
    </row>
    <row r="58" spans="1:8" ht="15.95" hidden="1" customHeight="1" x14ac:dyDescent="0.15">
      <c r="A58" s="33"/>
    </row>
    <row r="59" spans="1:8" ht="15.95" hidden="1" customHeight="1" x14ac:dyDescent="0.15"/>
    <row r="60" spans="1:8" ht="15.95" hidden="1" customHeight="1" x14ac:dyDescent="0.15">
      <c r="B60" s="8" t="s">
        <v>253</v>
      </c>
    </row>
    <row r="61" spans="1:8" ht="15.95" hidden="1" customHeight="1" x14ac:dyDescent="0.15"/>
    <row r="62" spans="1:8" ht="15.95" hidden="1" customHeight="1" x14ac:dyDescent="0.15">
      <c r="B62" s="20" t="s">
        <v>254</v>
      </c>
      <c r="C62" s="4" t="s">
        <v>255</v>
      </c>
      <c r="D62" s="20" t="s">
        <v>256</v>
      </c>
      <c r="E62" s="52"/>
      <c r="F62" s="27"/>
      <c r="G62" s="4" t="s">
        <v>257</v>
      </c>
      <c r="H62" s="20" t="s">
        <v>258</v>
      </c>
    </row>
    <row r="63" spans="1:8" ht="15.95" hidden="1" customHeight="1" x14ac:dyDescent="0.15">
      <c r="B63" s="20" t="s">
        <v>259</v>
      </c>
      <c r="C63" s="4" t="s">
        <v>255</v>
      </c>
      <c r="D63" s="20" t="s">
        <v>260</v>
      </c>
      <c r="E63" s="52"/>
      <c r="F63" s="27"/>
      <c r="G63" s="4"/>
      <c r="H63" s="20"/>
    </row>
    <row r="64" spans="1:8" ht="15.95" hidden="1" customHeight="1" x14ac:dyDescent="0.15">
      <c r="B64" s="20" t="s">
        <v>261</v>
      </c>
      <c r="C64" s="4" t="s">
        <v>255</v>
      </c>
      <c r="D64" s="20" t="s">
        <v>262</v>
      </c>
      <c r="E64" s="52"/>
      <c r="F64" s="27"/>
      <c r="G64" s="4" t="s">
        <v>257</v>
      </c>
      <c r="H64" s="20" t="s">
        <v>263</v>
      </c>
    </row>
    <row r="65" spans="1:14" ht="15.95" hidden="1" customHeight="1" x14ac:dyDescent="0.15">
      <c r="B65" s="20" t="s">
        <v>264</v>
      </c>
      <c r="C65" s="4" t="s">
        <v>255</v>
      </c>
      <c r="D65" s="20" t="s">
        <v>252</v>
      </c>
      <c r="E65" s="52"/>
      <c r="F65" s="27"/>
      <c r="G65" s="4"/>
      <c r="H65" s="20"/>
    </row>
    <row r="66" spans="1:14" ht="15.95" hidden="1" customHeight="1" x14ac:dyDescent="0.15">
      <c r="B66" s="62" t="s">
        <v>165</v>
      </c>
      <c r="C66" s="4" t="s">
        <v>255</v>
      </c>
      <c r="D66" s="20" t="s">
        <v>265</v>
      </c>
      <c r="E66" s="22"/>
      <c r="F66" s="27"/>
      <c r="G66" s="4"/>
      <c r="H66" s="20" t="s">
        <v>266</v>
      </c>
    </row>
    <row r="67" spans="1:14" ht="15.95" hidden="1" customHeight="1" x14ac:dyDescent="0.15"/>
    <row r="68" spans="1:14" ht="15.95" hidden="1" customHeight="1" x14ac:dyDescent="0.15"/>
    <row r="69" spans="1:14" ht="15.95" hidden="1" customHeight="1" x14ac:dyDescent="0.15">
      <c r="A69" s="33"/>
      <c r="B69" s="8" t="s">
        <v>283</v>
      </c>
    </row>
    <row r="70" spans="1:14" ht="15.95" hidden="1" customHeight="1" x14ac:dyDescent="0.15"/>
    <row r="71" spans="1:14" ht="15.95" hidden="1" customHeight="1" x14ac:dyDescent="0.15">
      <c r="B71" s="62" t="s">
        <v>267</v>
      </c>
      <c r="C71" s="4" t="s">
        <v>255</v>
      </c>
      <c r="D71" s="147">
        <f>D11</f>
        <v>4750</v>
      </c>
      <c r="E71" s="27" t="s">
        <v>562</v>
      </c>
      <c r="G71" s="4" t="s">
        <v>268</v>
      </c>
      <c r="H71" s="20" t="s">
        <v>446</v>
      </c>
      <c r="N71" s="20"/>
    </row>
    <row r="72" spans="1:14" ht="15.95" hidden="1" customHeight="1" x14ac:dyDescent="0.15">
      <c r="B72" s="62" t="s">
        <v>269</v>
      </c>
      <c r="C72" s="4" t="s">
        <v>270</v>
      </c>
      <c r="D72" s="147">
        <f>D10</f>
        <v>250</v>
      </c>
      <c r="E72" s="27" t="s">
        <v>562</v>
      </c>
      <c r="G72" s="4" t="s">
        <v>271</v>
      </c>
      <c r="H72" s="20" t="s">
        <v>447</v>
      </c>
      <c r="N72" s="20"/>
    </row>
    <row r="73" spans="1:14" ht="15.95" hidden="1" customHeight="1" x14ac:dyDescent="0.15">
      <c r="B73" s="62" t="s">
        <v>272</v>
      </c>
      <c r="C73" s="4" t="s">
        <v>273</v>
      </c>
      <c r="D73" s="147">
        <f>(D71^2-D72^2)/(2*D71)</f>
        <v>2368.4210526315787</v>
      </c>
      <c r="E73" s="27" t="s">
        <v>562</v>
      </c>
      <c r="G73" s="4" t="s">
        <v>271</v>
      </c>
      <c r="H73" s="20" t="s">
        <v>274</v>
      </c>
      <c r="J73" s="22"/>
      <c r="K73" s="4"/>
      <c r="L73" s="63"/>
      <c r="M73" s="33"/>
      <c r="N73" s="20"/>
    </row>
    <row r="74" spans="1:14" ht="15.95" hidden="1" customHeight="1" x14ac:dyDescent="0.15">
      <c r="B74" s="62" t="s">
        <v>275</v>
      </c>
      <c r="C74" s="4" t="s">
        <v>276</v>
      </c>
      <c r="D74" s="155">
        <f>ABS(D5/1000*(D7+D8)/2)</f>
        <v>0</v>
      </c>
      <c r="E74" s="8" t="s">
        <v>581</v>
      </c>
      <c r="G74" s="4" t="s">
        <v>277</v>
      </c>
      <c r="H74" s="20" t="s">
        <v>278</v>
      </c>
    </row>
    <row r="75" spans="1:14" ht="15.95" hidden="1" customHeight="1" x14ac:dyDescent="0.15">
      <c r="B75" s="62" t="s">
        <v>279</v>
      </c>
      <c r="C75" s="4" t="s">
        <v>276</v>
      </c>
      <c r="D75" s="147">
        <f>D6</f>
        <v>69637.021649999995</v>
      </c>
      <c r="E75" s="27" t="s">
        <v>586</v>
      </c>
      <c r="G75" s="4" t="s">
        <v>271</v>
      </c>
      <c r="H75" s="20" t="s">
        <v>280</v>
      </c>
    </row>
    <row r="76" spans="1:14" ht="15.95" hidden="1" customHeight="1" x14ac:dyDescent="0.15">
      <c r="B76" s="62" t="s">
        <v>281</v>
      </c>
      <c r="C76" s="4" t="s">
        <v>273</v>
      </c>
      <c r="D76" s="147">
        <f>D41</f>
        <v>1671313.4310645724</v>
      </c>
      <c r="E76" s="8" t="s">
        <v>579</v>
      </c>
      <c r="G76" s="4" t="s">
        <v>271</v>
      </c>
      <c r="H76" s="20" t="s">
        <v>282</v>
      </c>
    </row>
    <row r="77" spans="1:14" ht="15.95" hidden="1" customHeight="1" x14ac:dyDescent="0.15">
      <c r="F77" s="8" t="s">
        <v>0</v>
      </c>
    </row>
    <row r="78" spans="1:14" ht="15.95" hidden="1" customHeight="1" x14ac:dyDescent="0.15"/>
    <row r="79" spans="1:14" ht="15.95" hidden="1" customHeight="1" x14ac:dyDescent="0.15">
      <c r="A79" s="19"/>
      <c r="B79" s="8" t="s">
        <v>284</v>
      </c>
    </row>
    <row r="80" spans="1:14" ht="15.95" hidden="1" customHeight="1" x14ac:dyDescent="0.15"/>
    <row r="81" spans="1:11" ht="15.95" hidden="1" customHeight="1" x14ac:dyDescent="0.15">
      <c r="A81" s="8" t="s">
        <v>285</v>
      </c>
      <c r="B81" s="62" t="s">
        <v>286</v>
      </c>
      <c r="C81" s="4" t="s">
        <v>255</v>
      </c>
      <c r="D81" s="20" t="s">
        <v>287</v>
      </c>
      <c r="H81" s="62" t="s">
        <v>259</v>
      </c>
      <c r="I81" s="4" t="s">
        <v>255</v>
      </c>
      <c r="J81" s="81" t="s">
        <v>288</v>
      </c>
    </row>
    <row r="82" spans="1:11" ht="15.95" hidden="1" customHeight="1" x14ac:dyDescent="0.15">
      <c r="B82" s="62"/>
      <c r="C82" s="4" t="s">
        <v>327</v>
      </c>
      <c r="D82" s="147">
        <f>D74*(D71^2-D72^2)/(2*D71)</f>
        <v>0</v>
      </c>
      <c r="E82" s="8" t="s">
        <v>580</v>
      </c>
      <c r="H82" s="62"/>
      <c r="I82" s="4" t="s">
        <v>255</v>
      </c>
      <c r="J82" s="147">
        <f>D74*(D71+D72)^2/(2*D71)</f>
        <v>0</v>
      </c>
      <c r="K82" s="8" t="s">
        <v>580</v>
      </c>
    </row>
    <row r="83" spans="1:11" ht="15.95" hidden="1" customHeight="1" x14ac:dyDescent="0.15"/>
    <row r="84" spans="1:11" ht="15.95" hidden="1" customHeight="1" x14ac:dyDescent="0.15">
      <c r="B84" s="62" t="s">
        <v>289</v>
      </c>
      <c r="C84" s="4" t="s">
        <v>255</v>
      </c>
      <c r="D84" s="81" t="s">
        <v>290</v>
      </c>
      <c r="H84" s="62" t="s">
        <v>291</v>
      </c>
      <c r="I84" s="4" t="s">
        <v>255</v>
      </c>
      <c r="J84" s="81" t="s">
        <v>292</v>
      </c>
    </row>
    <row r="85" spans="1:11" ht="15.95" hidden="1" customHeight="1" x14ac:dyDescent="0.15">
      <c r="B85" s="62"/>
      <c r="C85" s="4" t="s">
        <v>255</v>
      </c>
      <c r="D85" s="147">
        <f>(D74*D72^2/2)</f>
        <v>0</v>
      </c>
      <c r="E85" s="27" t="s">
        <v>602</v>
      </c>
      <c r="H85" s="62"/>
      <c r="I85" s="4" t="s">
        <v>255</v>
      </c>
      <c r="J85" s="147">
        <f>((D82*D73)-(D74*D73^2/2))</f>
        <v>0</v>
      </c>
      <c r="K85" s="27" t="s">
        <v>602</v>
      </c>
    </row>
    <row r="86" spans="1:11" ht="15.95" hidden="1" customHeight="1" x14ac:dyDescent="0.15"/>
    <row r="87" spans="1:11" ht="15.95" hidden="1" customHeight="1" x14ac:dyDescent="0.15">
      <c r="B87" s="62" t="s">
        <v>153</v>
      </c>
      <c r="C87" s="4" t="s">
        <v>255</v>
      </c>
      <c r="D87" s="81" t="s">
        <v>293</v>
      </c>
    </row>
    <row r="88" spans="1:11" ht="15.95" hidden="1" customHeight="1" x14ac:dyDescent="0.15">
      <c r="B88" s="62"/>
      <c r="C88" s="4" t="s">
        <v>255</v>
      </c>
      <c r="D88" s="63">
        <f>(D74*D72^4/(8*D75*D76))+((D74*D71*D72*(4*D72^2-D71^2))/(24*D75*D76))</f>
        <v>0</v>
      </c>
      <c r="E88" s="27" t="s">
        <v>562</v>
      </c>
    </row>
    <row r="89" spans="1:11" ht="15.95" hidden="1" customHeight="1" x14ac:dyDescent="0.15"/>
    <row r="90" spans="1:11" ht="15.95" hidden="1" customHeight="1" x14ac:dyDescent="0.15">
      <c r="B90" s="62" t="s">
        <v>294</v>
      </c>
      <c r="C90" s="4" t="s">
        <v>255</v>
      </c>
      <c r="D90" s="81" t="s">
        <v>295</v>
      </c>
    </row>
    <row r="91" spans="1:11" ht="15.95" hidden="1" customHeight="1" x14ac:dyDescent="0.15">
      <c r="B91" s="52"/>
      <c r="C91" s="4" t="s">
        <v>255</v>
      </c>
      <c r="D91" s="14">
        <f>(5*D74*D71^4/(384*D75*D76))-(D85*D71^2/(16*D75*D76))</f>
        <v>0</v>
      </c>
      <c r="E91" s="27" t="s">
        <v>562</v>
      </c>
    </row>
    <row r="92" spans="1:11" ht="15.95" hidden="1" customHeight="1" x14ac:dyDescent="0.15"/>
    <row r="93" spans="1:11" ht="15.95" hidden="1" customHeight="1" x14ac:dyDescent="0.15">
      <c r="B93" s="27" t="s">
        <v>246</v>
      </c>
    </row>
    <row r="94" spans="1:11" ht="15.95" hidden="1" customHeight="1" x14ac:dyDescent="0.15">
      <c r="A94" s="33"/>
    </row>
    <row r="95" spans="1:11" ht="15.95" hidden="1" customHeight="1" x14ac:dyDescent="0.15">
      <c r="A95" s="33"/>
    </row>
    <row r="96" spans="1:11" ht="15.95" hidden="1" customHeight="1" x14ac:dyDescent="0.15">
      <c r="A96" s="33"/>
    </row>
    <row r="97" spans="1:8" ht="15.95" hidden="1" customHeight="1" x14ac:dyDescent="0.15">
      <c r="A97" s="33"/>
    </row>
    <row r="98" spans="1:8" ht="15.95" hidden="1" customHeight="1" x14ac:dyDescent="0.15">
      <c r="A98" s="33"/>
    </row>
    <row r="99" spans="1:8" ht="15.95" hidden="1" customHeight="1" x14ac:dyDescent="0.15">
      <c r="A99" s="33"/>
    </row>
    <row r="100" spans="1:8" ht="15.95" hidden="1" customHeight="1" x14ac:dyDescent="0.15">
      <c r="A100" s="33"/>
    </row>
    <row r="101" spans="1:8" ht="15.95" hidden="1" customHeight="1" x14ac:dyDescent="0.15">
      <c r="A101" s="33"/>
    </row>
    <row r="102" spans="1:8" ht="15.95" hidden="1" customHeight="1" x14ac:dyDescent="0.15">
      <c r="A102" s="33"/>
    </row>
    <row r="103" spans="1:8" ht="15.95" hidden="1" customHeight="1" x14ac:dyDescent="0.15">
      <c r="A103" s="33"/>
    </row>
    <row r="104" spans="1:8" ht="15.95" hidden="1" customHeight="1" x14ac:dyDescent="0.15"/>
    <row r="105" spans="1:8" ht="15.95" hidden="1" customHeight="1" x14ac:dyDescent="0.15">
      <c r="B105" s="8" t="s">
        <v>296</v>
      </c>
    </row>
    <row r="106" spans="1:8" ht="15.95" hidden="1" customHeight="1" x14ac:dyDescent="0.15"/>
    <row r="107" spans="1:8" ht="15.95" hidden="1" customHeight="1" x14ac:dyDescent="0.15">
      <c r="B107" s="62" t="s">
        <v>286</v>
      </c>
      <c r="C107" s="4" t="s">
        <v>255</v>
      </c>
      <c r="D107" s="20" t="s">
        <v>297</v>
      </c>
      <c r="E107" s="52"/>
      <c r="G107" s="4" t="s">
        <v>257</v>
      </c>
      <c r="H107" s="82" t="s">
        <v>258</v>
      </c>
    </row>
    <row r="108" spans="1:8" ht="15.95" hidden="1" customHeight="1" x14ac:dyDescent="0.15">
      <c r="B108" s="62" t="s">
        <v>259</v>
      </c>
      <c r="C108" s="4" t="s">
        <v>255</v>
      </c>
      <c r="D108" s="83" t="s">
        <v>298</v>
      </c>
    </row>
    <row r="109" spans="1:8" ht="15.95" hidden="1" customHeight="1" x14ac:dyDescent="0.15"/>
    <row r="110" spans="1:8" ht="15.95" hidden="1" customHeight="1" x14ac:dyDescent="0.15"/>
    <row r="111" spans="1:8" ht="15.95" hidden="1" customHeight="1" x14ac:dyDescent="0.15">
      <c r="A111" s="33"/>
      <c r="B111" s="8" t="s">
        <v>283</v>
      </c>
    </row>
    <row r="112" spans="1:8" ht="15.95" hidden="1" customHeight="1" x14ac:dyDescent="0.15"/>
    <row r="113" spans="1:8" ht="15.95" hidden="1" customHeight="1" x14ac:dyDescent="0.15">
      <c r="B113" s="82" t="s">
        <v>267</v>
      </c>
      <c r="C113" s="4" t="s">
        <v>255</v>
      </c>
      <c r="D113" s="147">
        <f>D11</f>
        <v>4750</v>
      </c>
      <c r="E113" s="27" t="s">
        <v>562</v>
      </c>
      <c r="G113" s="4" t="s">
        <v>257</v>
      </c>
      <c r="H113" s="20" t="s">
        <v>300</v>
      </c>
    </row>
    <row r="114" spans="1:8" ht="15.95" hidden="1" customHeight="1" x14ac:dyDescent="0.15">
      <c r="B114" s="20" t="s">
        <v>301</v>
      </c>
      <c r="C114" s="4" t="s">
        <v>255</v>
      </c>
      <c r="D114" s="147">
        <f>D10</f>
        <v>250</v>
      </c>
      <c r="E114" s="27" t="s">
        <v>562</v>
      </c>
      <c r="G114" s="4" t="s">
        <v>257</v>
      </c>
      <c r="H114" s="20" t="s">
        <v>302</v>
      </c>
    </row>
    <row r="115" spans="1:8" ht="15.95" hidden="1" customHeight="1" x14ac:dyDescent="0.15">
      <c r="B115" s="84" t="s">
        <v>303</v>
      </c>
      <c r="C115" s="4" t="s">
        <v>255</v>
      </c>
      <c r="D115" s="147">
        <f>D82</f>
        <v>0</v>
      </c>
      <c r="E115" s="8" t="s">
        <v>580</v>
      </c>
      <c r="G115" s="4" t="s">
        <v>304</v>
      </c>
      <c r="H115" s="20" t="s">
        <v>305</v>
      </c>
    </row>
    <row r="116" spans="1:8" ht="15.95" hidden="1" customHeight="1" x14ac:dyDescent="0.15">
      <c r="F116" s="8" t="s">
        <v>0</v>
      </c>
    </row>
    <row r="117" spans="1:8" ht="15.95" hidden="1" customHeight="1" x14ac:dyDescent="0.15"/>
    <row r="118" spans="1:8" ht="15.95" hidden="1" customHeight="1" x14ac:dyDescent="0.15">
      <c r="A118" s="19"/>
      <c r="B118" s="8" t="s">
        <v>284</v>
      </c>
    </row>
    <row r="119" spans="1:8" ht="15.95" hidden="1" customHeight="1" x14ac:dyDescent="0.15"/>
    <row r="120" spans="1:8" ht="15.95" hidden="1" customHeight="1" x14ac:dyDescent="0.15">
      <c r="A120" s="8" t="s">
        <v>285</v>
      </c>
      <c r="B120" s="62" t="s">
        <v>286</v>
      </c>
      <c r="C120" s="4" t="s">
        <v>255</v>
      </c>
      <c r="D120" s="20" t="s">
        <v>306</v>
      </c>
    </row>
    <row r="121" spans="1:8" ht="15.95" hidden="1" customHeight="1" x14ac:dyDescent="0.15">
      <c r="B121" s="33"/>
      <c r="C121" s="4" t="s">
        <v>255</v>
      </c>
      <c r="D121" s="147">
        <f>D115*D114/D113</f>
        <v>0</v>
      </c>
      <c r="E121" s="8" t="s">
        <v>580</v>
      </c>
    </row>
    <row r="122" spans="1:8" ht="15.95" hidden="1" customHeight="1" x14ac:dyDescent="0.15">
      <c r="B122" s="62" t="s">
        <v>259</v>
      </c>
      <c r="C122" s="4" t="s">
        <v>255</v>
      </c>
      <c r="D122" s="83" t="s">
        <v>613</v>
      </c>
    </row>
    <row r="123" spans="1:8" ht="15.95" hidden="1" customHeight="1" x14ac:dyDescent="0.15">
      <c r="B123" s="33"/>
      <c r="C123" s="4" t="s">
        <v>255</v>
      </c>
      <c r="D123" s="147">
        <f>(D114+D113)/D113*D115</f>
        <v>0</v>
      </c>
      <c r="E123" s="8" t="s">
        <v>580</v>
      </c>
    </row>
    <row r="124" spans="1:8" ht="15.95" hidden="1" customHeight="1" x14ac:dyDescent="0.15">
      <c r="B124" s="33"/>
      <c r="C124" s="4"/>
      <c r="D124" s="63"/>
    </row>
    <row r="125" spans="1:8" ht="15.95" hidden="1" customHeight="1" x14ac:dyDescent="0.15">
      <c r="B125" s="33"/>
      <c r="C125" s="4"/>
      <c r="D125" s="63"/>
    </row>
    <row r="126" spans="1:8" ht="15.95" hidden="1" customHeight="1" x14ac:dyDescent="0.15">
      <c r="B126" s="33"/>
      <c r="C126" s="4"/>
      <c r="D126" s="63"/>
    </row>
    <row r="127" spans="1:8" ht="15.95" hidden="1" customHeight="1" x14ac:dyDescent="0.15">
      <c r="B127" s="33"/>
      <c r="C127" s="4"/>
      <c r="D127" s="63"/>
    </row>
    <row r="128" spans="1:8" ht="15.95" hidden="1" customHeight="1" x14ac:dyDescent="0.15">
      <c r="B128" s="33"/>
      <c r="C128" s="4"/>
      <c r="D128" s="63"/>
    </row>
    <row r="129" spans="1:4" ht="15.95" hidden="1" customHeight="1" x14ac:dyDescent="0.15">
      <c r="B129" s="33"/>
      <c r="C129" s="4"/>
      <c r="D129" s="63"/>
    </row>
    <row r="130" spans="1:4" ht="15.95" hidden="1" customHeight="1" x14ac:dyDescent="0.15">
      <c r="B130" s="33"/>
      <c r="C130" s="4"/>
      <c r="D130" s="63"/>
    </row>
    <row r="131" spans="1:4" ht="15.95" hidden="1" customHeight="1" x14ac:dyDescent="0.15">
      <c r="B131" s="33"/>
      <c r="C131" s="4"/>
      <c r="D131" s="63"/>
    </row>
    <row r="132" spans="1:4" ht="15.95" hidden="1" customHeight="1" x14ac:dyDescent="0.15">
      <c r="B132" s="33"/>
      <c r="C132" s="4"/>
      <c r="D132" s="63"/>
    </row>
    <row r="133" spans="1:4" ht="15.95" hidden="1" customHeight="1" x14ac:dyDescent="0.15">
      <c r="B133" s="33"/>
      <c r="C133" s="4"/>
      <c r="D133" s="63"/>
    </row>
    <row r="134" spans="1:4" ht="15.95" hidden="1" customHeight="1" x14ac:dyDescent="0.15">
      <c r="B134" s="33"/>
      <c r="C134" s="4"/>
      <c r="D134" s="63"/>
    </row>
    <row r="135" spans="1:4" ht="15.95" hidden="1" customHeight="1" x14ac:dyDescent="0.15">
      <c r="B135" s="33"/>
      <c r="C135" s="4"/>
      <c r="D135" s="63"/>
    </row>
    <row r="136" spans="1:4" ht="15.95" hidden="1" customHeight="1" x14ac:dyDescent="0.15">
      <c r="B136" s="33"/>
      <c r="C136" s="4"/>
      <c r="D136" s="63"/>
    </row>
    <row r="137" spans="1:4" ht="15.95" hidden="1" customHeight="1" x14ac:dyDescent="0.15">
      <c r="B137" s="33"/>
      <c r="C137" s="4"/>
      <c r="D137" s="63"/>
    </row>
    <row r="138" spans="1:4" ht="15.95" hidden="1" customHeight="1" x14ac:dyDescent="0.15">
      <c r="B138" s="33"/>
      <c r="C138" s="4"/>
      <c r="D138" s="63"/>
    </row>
    <row r="139" spans="1:4" ht="15.95" hidden="1" customHeight="1" x14ac:dyDescent="0.15">
      <c r="B139" s="27" t="s">
        <v>247</v>
      </c>
    </row>
    <row r="140" spans="1:4" ht="15.95" hidden="1" customHeight="1" x14ac:dyDescent="0.15">
      <c r="A140" s="33"/>
    </row>
    <row r="141" spans="1:4" ht="15.95" hidden="1" customHeight="1" x14ac:dyDescent="0.15">
      <c r="A141" s="33"/>
    </row>
    <row r="142" spans="1:4" ht="15.95" hidden="1" customHeight="1" x14ac:dyDescent="0.15">
      <c r="A142" s="33"/>
    </row>
    <row r="143" spans="1:4" ht="15.95" hidden="1" customHeight="1" x14ac:dyDescent="0.15">
      <c r="A143" s="33"/>
    </row>
    <row r="144" spans="1:4" ht="15.95" hidden="1" customHeight="1" x14ac:dyDescent="0.15">
      <c r="A144" s="33"/>
    </row>
    <row r="145" spans="1:14" ht="15.95" hidden="1" customHeight="1" x14ac:dyDescent="0.15">
      <c r="A145" s="33"/>
    </row>
    <row r="146" spans="1:14" ht="15.95" hidden="1" customHeight="1" x14ac:dyDescent="0.15">
      <c r="A146" s="33"/>
    </row>
    <row r="147" spans="1:14" ht="15.95" hidden="1" customHeight="1" x14ac:dyDescent="0.15">
      <c r="A147" s="33"/>
    </row>
    <row r="148" spans="1:14" ht="15.95" hidden="1" customHeight="1" x14ac:dyDescent="0.15">
      <c r="A148" s="33"/>
    </row>
    <row r="149" spans="1:14" ht="15.95" hidden="1" customHeight="1" x14ac:dyDescent="0.15">
      <c r="A149" s="33"/>
    </row>
    <row r="150" spans="1:14" ht="15.95" hidden="1" customHeight="1" x14ac:dyDescent="0.15"/>
    <row r="151" spans="1:14" ht="15.95" hidden="1" customHeight="1" x14ac:dyDescent="0.15">
      <c r="B151" s="8" t="s">
        <v>296</v>
      </c>
    </row>
    <row r="152" spans="1:14" ht="15.95" hidden="1" customHeight="1" x14ac:dyDescent="0.15"/>
    <row r="153" spans="1:14" ht="15.95" hidden="1" customHeight="1" x14ac:dyDescent="0.15">
      <c r="B153" s="62" t="s">
        <v>286</v>
      </c>
      <c r="C153" s="4" t="s">
        <v>255</v>
      </c>
      <c r="D153" s="20" t="s">
        <v>306</v>
      </c>
      <c r="E153" s="52"/>
      <c r="G153" s="4" t="s">
        <v>257</v>
      </c>
      <c r="H153" s="82" t="s">
        <v>258</v>
      </c>
    </row>
    <row r="154" spans="1:14" ht="15.95" hidden="1" customHeight="1" x14ac:dyDescent="0.15">
      <c r="B154" s="62" t="s">
        <v>259</v>
      </c>
      <c r="C154" s="4" t="s">
        <v>255</v>
      </c>
      <c r="D154" s="83" t="s">
        <v>307</v>
      </c>
      <c r="E154" s="52"/>
    </row>
    <row r="155" spans="1:14" ht="15.95" hidden="1" customHeight="1" x14ac:dyDescent="0.15">
      <c r="B155" s="62" t="s">
        <v>261</v>
      </c>
      <c r="C155" s="4" t="s">
        <v>255</v>
      </c>
      <c r="D155" s="20" t="s">
        <v>308</v>
      </c>
      <c r="E155" s="52"/>
      <c r="G155" s="4" t="s">
        <v>257</v>
      </c>
      <c r="H155" s="20" t="s">
        <v>263</v>
      </c>
    </row>
    <row r="156" spans="1:14" ht="15.95" hidden="1" customHeight="1" x14ac:dyDescent="0.15">
      <c r="B156" s="62" t="s">
        <v>309</v>
      </c>
      <c r="C156" s="4" t="s">
        <v>255</v>
      </c>
      <c r="D156" s="20" t="s">
        <v>310</v>
      </c>
      <c r="E156" s="52"/>
      <c r="G156" s="20" t="s">
        <v>311</v>
      </c>
      <c r="H156" s="20"/>
      <c r="N156" s="27"/>
    </row>
    <row r="157" spans="1:14" ht="15.95" hidden="1" customHeight="1" x14ac:dyDescent="0.15">
      <c r="B157" s="62" t="s">
        <v>312</v>
      </c>
      <c r="C157" s="4" t="s">
        <v>255</v>
      </c>
      <c r="D157" s="20" t="s">
        <v>313</v>
      </c>
      <c r="E157" s="22"/>
      <c r="G157" s="4" t="s">
        <v>257</v>
      </c>
      <c r="H157" s="20" t="s">
        <v>266</v>
      </c>
      <c r="N157" s="27"/>
    </row>
    <row r="158" spans="1:14" ht="15.95" hidden="1" customHeight="1" x14ac:dyDescent="0.15"/>
    <row r="159" spans="1:14" ht="15.95" hidden="1" customHeight="1" x14ac:dyDescent="0.15"/>
    <row r="160" spans="1:14" ht="15.95" hidden="1" customHeight="1" x14ac:dyDescent="0.15">
      <c r="A160" s="33"/>
      <c r="B160" s="8" t="s">
        <v>283</v>
      </c>
    </row>
    <row r="161" spans="1:11" ht="15.95" hidden="1" customHeight="1" x14ac:dyDescent="0.15"/>
    <row r="162" spans="1:11" ht="15.95" hidden="1" customHeight="1" x14ac:dyDescent="0.15">
      <c r="B162" s="82" t="s">
        <v>267</v>
      </c>
      <c r="C162" s="4" t="s">
        <v>255</v>
      </c>
      <c r="D162" s="147">
        <f>D71</f>
        <v>4750</v>
      </c>
      <c r="E162" s="27" t="s">
        <v>562</v>
      </c>
      <c r="F162" s="27"/>
      <c r="G162" s="4" t="s">
        <v>257</v>
      </c>
      <c r="H162" s="20" t="s">
        <v>300</v>
      </c>
    </row>
    <row r="163" spans="1:11" ht="15.95" hidden="1" customHeight="1" x14ac:dyDescent="0.15">
      <c r="B163" s="20" t="s">
        <v>301</v>
      </c>
      <c r="C163" s="4" t="s">
        <v>255</v>
      </c>
      <c r="D163" s="147">
        <f>D72</f>
        <v>250</v>
      </c>
      <c r="E163" s="27" t="s">
        <v>562</v>
      </c>
      <c r="F163" s="27"/>
      <c r="G163" s="4" t="s">
        <v>257</v>
      </c>
      <c r="H163" s="20" t="s">
        <v>302</v>
      </c>
    </row>
    <row r="164" spans="1:11" ht="15.95" hidden="1" customHeight="1" x14ac:dyDescent="0.15">
      <c r="B164" s="20" t="s">
        <v>314</v>
      </c>
      <c r="C164" s="4" t="s">
        <v>255</v>
      </c>
      <c r="D164" s="147">
        <f>(D162^2-D163^2)/(2*D162)</f>
        <v>2368.4210526315787</v>
      </c>
      <c r="E164" s="27" t="s">
        <v>562</v>
      </c>
      <c r="F164" s="27"/>
      <c r="G164" s="4" t="s">
        <v>257</v>
      </c>
      <c r="H164" s="20" t="s">
        <v>315</v>
      </c>
      <c r="K164" s="20"/>
    </row>
    <row r="165" spans="1:11" ht="15.95" hidden="1" customHeight="1" x14ac:dyDescent="0.15">
      <c r="B165" s="84" t="s">
        <v>303</v>
      </c>
      <c r="C165" s="4" t="s">
        <v>255</v>
      </c>
      <c r="D165" s="147">
        <f>D82</f>
        <v>0</v>
      </c>
      <c r="E165" s="8" t="s">
        <v>580</v>
      </c>
      <c r="G165" s="4" t="s">
        <v>304</v>
      </c>
      <c r="H165" s="20" t="s">
        <v>316</v>
      </c>
    </row>
    <row r="166" spans="1:11" ht="15.95" hidden="1" customHeight="1" x14ac:dyDescent="0.15">
      <c r="B166" s="84" t="s">
        <v>317</v>
      </c>
      <c r="C166" s="4" t="s">
        <v>318</v>
      </c>
      <c r="D166" s="147">
        <f>D165-D121</f>
        <v>0</v>
      </c>
      <c r="E166" s="8" t="s">
        <v>580</v>
      </c>
      <c r="F166" s="27"/>
      <c r="G166" s="4" t="s">
        <v>304</v>
      </c>
      <c r="H166" s="20" t="s">
        <v>319</v>
      </c>
      <c r="K166" s="20"/>
    </row>
    <row r="167" spans="1:11" ht="15.95" hidden="1" customHeight="1" x14ac:dyDescent="0.15">
      <c r="B167" s="62" t="s">
        <v>320</v>
      </c>
      <c r="C167" s="4" t="s">
        <v>318</v>
      </c>
      <c r="D167" s="147">
        <f>D75</f>
        <v>69637.021649999995</v>
      </c>
      <c r="E167" s="27" t="s">
        <v>561</v>
      </c>
      <c r="G167" s="4" t="s">
        <v>321</v>
      </c>
      <c r="H167" s="20" t="s">
        <v>322</v>
      </c>
    </row>
    <row r="168" spans="1:11" ht="15.95" hidden="1" customHeight="1" x14ac:dyDescent="0.15">
      <c r="B168" s="62" t="s">
        <v>323</v>
      </c>
      <c r="C168" s="4" t="s">
        <v>324</v>
      </c>
      <c r="D168" s="147">
        <f>D76</f>
        <v>1671313.4310645724</v>
      </c>
      <c r="E168" s="8" t="s">
        <v>579</v>
      </c>
      <c r="G168" s="4" t="s">
        <v>325</v>
      </c>
      <c r="H168" s="20" t="s">
        <v>326</v>
      </c>
    </row>
    <row r="169" spans="1:11" ht="15.95" hidden="1" customHeight="1" x14ac:dyDescent="0.15">
      <c r="F169" s="8" t="s">
        <v>0</v>
      </c>
    </row>
    <row r="170" spans="1:11" ht="15.95" hidden="1" customHeight="1" x14ac:dyDescent="0.15"/>
    <row r="171" spans="1:11" ht="15.95" hidden="1" customHeight="1" x14ac:dyDescent="0.15">
      <c r="A171" s="19"/>
      <c r="B171" s="8" t="s">
        <v>284</v>
      </c>
    </row>
    <row r="172" spans="1:11" ht="15.95" hidden="1" customHeight="1" x14ac:dyDescent="0.15"/>
    <row r="173" spans="1:11" ht="15.95" hidden="1" customHeight="1" x14ac:dyDescent="0.15">
      <c r="A173" s="8" t="s">
        <v>285</v>
      </c>
      <c r="B173" s="62" t="s">
        <v>286</v>
      </c>
      <c r="C173" s="4" t="s">
        <v>255</v>
      </c>
      <c r="D173" s="20" t="s">
        <v>306</v>
      </c>
      <c r="H173" s="62" t="s">
        <v>259</v>
      </c>
      <c r="I173" s="4" t="s">
        <v>255</v>
      </c>
      <c r="J173" s="83" t="s">
        <v>613</v>
      </c>
    </row>
    <row r="174" spans="1:11" ht="15.95" hidden="1" customHeight="1" x14ac:dyDescent="0.15">
      <c r="B174" s="62"/>
      <c r="C174" s="4" t="s">
        <v>255</v>
      </c>
      <c r="D174" s="147">
        <f>D166*D163/D162</f>
        <v>0</v>
      </c>
      <c r="E174" s="8" t="s">
        <v>580</v>
      </c>
      <c r="H174" s="33"/>
      <c r="I174" s="4" t="s">
        <v>255</v>
      </c>
      <c r="J174" s="147">
        <f>(D163+D162)/D162*D166</f>
        <v>0</v>
      </c>
      <c r="K174" s="8" t="s">
        <v>580</v>
      </c>
    </row>
    <row r="175" spans="1:11" ht="15.95" hidden="1" customHeight="1" x14ac:dyDescent="0.15"/>
    <row r="176" spans="1:11" ht="15.95" hidden="1" customHeight="1" x14ac:dyDescent="0.15">
      <c r="B176" s="62" t="s">
        <v>261</v>
      </c>
      <c r="C176" s="4" t="s">
        <v>255</v>
      </c>
      <c r="D176" s="20" t="s">
        <v>308</v>
      </c>
      <c r="H176" s="62" t="s">
        <v>309</v>
      </c>
      <c r="I176" s="4" t="s">
        <v>255</v>
      </c>
      <c r="J176" s="20" t="s">
        <v>310</v>
      </c>
    </row>
    <row r="177" spans="1:26" ht="15.95" hidden="1" customHeight="1" x14ac:dyDescent="0.15">
      <c r="C177" s="4" t="s">
        <v>255</v>
      </c>
      <c r="D177" s="147">
        <f>(D166*D163)</f>
        <v>0</v>
      </c>
      <c r="E177" s="27" t="s">
        <v>614</v>
      </c>
      <c r="I177" s="4" t="s">
        <v>255</v>
      </c>
      <c r="J177" s="147">
        <f>((D166*D163)*(D164/D162))</f>
        <v>0</v>
      </c>
      <c r="K177" s="27" t="s">
        <v>614</v>
      </c>
    </row>
    <row r="178" spans="1:26" ht="15.95" hidden="1" customHeight="1" x14ac:dyDescent="0.15"/>
    <row r="179" spans="1:26" ht="15.95" hidden="1" customHeight="1" x14ac:dyDescent="0.15">
      <c r="B179" s="62" t="s">
        <v>328</v>
      </c>
      <c r="C179" s="4" t="s">
        <v>255</v>
      </c>
      <c r="D179" s="81" t="s">
        <v>329</v>
      </c>
    </row>
    <row r="180" spans="1:26" ht="15.95" hidden="1" customHeight="1" x14ac:dyDescent="0.15">
      <c r="B180" s="52"/>
      <c r="C180" s="4" t="s">
        <v>330</v>
      </c>
      <c r="D180" s="63">
        <f>((D166*D163^2*(D162+D163))/(3*D167*D168))</f>
        <v>0</v>
      </c>
      <c r="E180" s="27" t="s">
        <v>582</v>
      </c>
    </row>
    <row r="181" spans="1:26" ht="15.95" hidden="1" customHeight="1" x14ac:dyDescent="0.15"/>
    <row r="182" spans="1:26" ht="15.95" hidden="1" customHeight="1" x14ac:dyDescent="0.15">
      <c r="B182" s="62" t="s">
        <v>331</v>
      </c>
      <c r="C182" s="4" t="s">
        <v>276</v>
      </c>
      <c r="D182" s="20" t="s">
        <v>332</v>
      </c>
    </row>
    <row r="183" spans="1:26" ht="15.95" hidden="1" customHeight="1" x14ac:dyDescent="0.15">
      <c r="B183" s="52"/>
      <c r="C183" s="4" t="s">
        <v>276</v>
      </c>
      <c r="D183" s="63">
        <f>(0.0642*D166*D163*D162^2/(D167*D168))</f>
        <v>0</v>
      </c>
      <c r="E183" s="27" t="s">
        <v>582</v>
      </c>
    </row>
    <row r="184" spans="1:26" ht="15.95" hidden="1" customHeight="1" x14ac:dyDescent="0.15"/>
    <row r="185" spans="1:26" ht="15.95" hidden="1" customHeight="1" x14ac:dyDescent="0.15">
      <c r="A185" s="27"/>
      <c r="B185" s="61" t="s">
        <v>391</v>
      </c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N185" s="29" t="s">
        <v>401</v>
      </c>
      <c r="O185" s="444">
        <f>G6</f>
        <v>5</v>
      </c>
      <c r="P185" s="30"/>
    </row>
    <row r="186" spans="1:26" s="31" customFormat="1" ht="15.95" hidden="1" customHeight="1" x14ac:dyDescent="0.15">
      <c r="J186" s="32"/>
      <c r="K186" s="21"/>
      <c r="L186" s="32"/>
      <c r="M186" s="32"/>
      <c r="N186" s="21"/>
      <c r="O186" s="21"/>
      <c r="P186" s="21"/>
      <c r="V186" s="36"/>
      <c r="X186" s="36"/>
      <c r="Z186" s="36"/>
    </row>
    <row r="187" spans="1:26" s="31" customFormat="1" ht="15.95" hidden="1" customHeight="1" x14ac:dyDescent="0.15">
      <c r="A187" s="8"/>
      <c r="B187" s="33" t="s">
        <v>335</v>
      </c>
      <c r="C187" s="33"/>
      <c r="G187" s="34" t="s">
        <v>336</v>
      </c>
      <c r="H187" s="85"/>
      <c r="I187" s="27"/>
      <c r="J187" s="86"/>
      <c r="K187" s="35"/>
      <c r="L187" s="8"/>
      <c r="M187" s="8"/>
      <c r="N187" s="36" t="s">
        <v>337</v>
      </c>
      <c r="O187" s="443">
        <v>14</v>
      </c>
      <c r="P187" s="8"/>
      <c r="S187" s="8"/>
      <c r="V187" s="36"/>
      <c r="X187" s="36"/>
      <c r="Z187" s="36"/>
    </row>
    <row r="188" spans="1:26" s="31" customFormat="1" ht="15.95" hidden="1" customHeight="1" x14ac:dyDescent="0.15">
      <c r="A188" s="8"/>
      <c r="B188" s="33"/>
      <c r="C188" s="8"/>
      <c r="D188" s="8"/>
      <c r="E188" s="8"/>
      <c r="G188" s="21"/>
      <c r="I188" s="8"/>
      <c r="J188" s="33"/>
      <c r="K188" s="22"/>
      <c r="L188" s="8"/>
      <c r="M188" s="22" t="s">
        <v>338</v>
      </c>
      <c r="N188" s="87">
        <v>5</v>
      </c>
      <c r="O188" s="87">
        <v>6</v>
      </c>
      <c r="Q188" s="790" t="s">
        <v>339</v>
      </c>
      <c r="R188" s="791"/>
      <c r="S188" s="792" t="s">
        <v>389</v>
      </c>
      <c r="T188" s="793"/>
      <c r="U188" s="794"/>
      <c r="V188" s="36"/>
      <c r="X188" s="36"/>
      <c r="Z188" s="36"/>
    </row>
    <row r="189" spans="1:26" s="31" customFormat="1" ht="15.95" hidden="1" customHeight="1" x14ac:dyDescent="0.15">
      <c r="A189" s="8"/>
      <c r="B189" s="20" t="s">
        <v>390</v>
      </c>
      <c r="C189" s="4" t="s">
        <v>4</v>
      </c>
      <c r="D189" s="151">
        <f>D12</f>
        <v>2600</v>
      </c>
      <c r="E189" s="13" t="s">
        <v>583</v>
      </c>
      <c r="F189" s="8"/>
      <c r="G189" s="20" t="s">
        <v>340</v>
      </c>
      <c r="H189" s="4" t="s">
        <v>341</v>
      </c>
      <c r="I189" s="22">
        <f>2*D189*D191/(SQRT(D190*D192))</f>
        <v>147.27259356576931</v>
      </c>
      <c r="K189" s="22"/>
      <c r="L189" s="8"/>
      <c r="M189" s="8"/>
      <c r="N189" s="37">
        <v>0</v>
      </c>
      <c r="O189" s="37">
        <v>0</v>
      </c>
      <c r="P189" s="21" t="s">
        <v>342</v>
      </c>
      <c r="Q189" s="38" t="s">
        <v>343</v>
      </c>
      <c r="R189" s="39" t="s">
        <v>344</v>
      </c>
      <c r="S189" s="39">
        <v>1</v>
      </c>
      <c r="T189" s="40">
        <f>IF(O185=5, N189, O189)</f>
        <v>0</v>
      </c>
      <c r="U189" s="39" t="str">
        <f>P189</f>
        <v>S  ≤  S₁</v>
      </c>
      <c r="V189" s="36"/>
      <c r="X189" s="36"/>
      <c r="Z189" s="36"/>
    </row>
    <row r="190" spans="1:26" s="31" customFormat="1" ht="15.95" hidden="1" customHeight="1" x14ac:dyDescent="0.15">
      <c r="A190" s="8"/>
      <c r="B190" s="20" t="s">
        <v>345</v>
      </c>
      <c r="C190" s="4" t="s">
        <v>4</v>
      </c>
      <c r="D190" s="151">
        <f>D42</f>
        <v>462398.66666666663</v>
      </c>
      <c r="E190" s="13" t="s">
        <v>584</v>
      </c>
      <c r="F190" s="8"/>
      <c r="G190" s="41" t="s">
        <v>346</v>
      </c>
      <c r="H190" s="22"/>
      <c r="I190" s="22"/>
      <c r="J190" s="36"/>
      <c r="K190" s="22"/>
      <c r="L190" s="8"/>
      <c r="M190" s="8"/>
      <c r="N190" s="42">
        <v>0</v>
      </c>
      <c r="O190" s="42">
        <v>0</v>
      </c>
      <c r="P190" s="21" t="s">
        <v>347</v>
      </c>
      <c r="Q190" s="43">
        <f>IF(O185=5, N190,O190)</f>
        <v>0</v>
      </c>
      <c r="R190" s="44">
        <f>IF(O185=5,N192,O192)</f>
        <v>3823</v>
      </c>
      <c r="S190" s="46">
        <v>2</v>
      </c>
      <c r="T190" s="45">
        <f>IF(O185=5, N191, O191)</f>
        <v>9.6505085589175899</v>
      </c>
      <c r="U190" s="46" t="str">
        <f>P191</f>
        <v>S₁&lt;  S  &lt; S₂</v>
      </c>
      <c r="V190" s="36"/>
      <c r="X190" s="36"/>
      <c r="Z190" s="36"/>
    </row>
    <row r="191" spans="1:26" s="31" customFormat="1" ht="15.95" hidden="1" customHeight="1" x14ac:dyDescent="0.15">
      <c r="B191" s="20" t="s">
        <v>409</v>
      </c>
      <c r="C191" s="4" t="s">
        <v>351</v>
      </c>
      <c r="D191" s="151">
        <f>D44</f>
        <v>19870.579852681814</v>
      </c>
      <c r="E191" s="13" t="s">
        <v>585</v>
      </c>
      <c r="G191" s="20" t="str">
        <f>U193</f>
        <v>S₁&lt;  S  &lt; S₂</v>
      </c>
      <c r="J191" s="8"/>
      <c r="K191" s="22"/>
      <c r="L191" s="8"/>
      <c r="M191" s="8"/>
      <c r="N191" s="42">
        <f>10.5-0.07*SQRT(I189)</f>
        <v>9.6505085589175899</v>
      </c>
      <c r="O191" s="42">
        <f>16.7-0.14*SQRT(I189)</f>
        <v>15.001017117835179</v>
      </c>
      <c r="P191" s="21" t="s">
        <v>348</v>
      </c>
      <c r="Q191" s="88" t="s">
        <v>349</v>
      </c>
      <c r="S191" s="44">
        <v>3</v>
      </c>
      <c r="T191" s="47">
        <f>IF(O185=5, N193, O193)</f>
        <v>160.24026893680735</v>
      </c>
      <c r="U191" s="44" t="str">
        <f>P193</f>
        <v>S  ≥  S₂</v>
      </c>
      <c r="V191" s="36"/>
      <c r="X191" s="36"/>
      <c r="Z191" s="36"/>
    </row>
    <row r="192" spans="1:26" s="31" customFormat="1" ht="15.95" hidden="1" customHeight="1" thickBot="1" x14ac:dyDescent="0.2">
      <c r="A192" s="8"/>
      <c r="B192" s="20" t="s">
        <v>350</v>
      </c>
      <c r="C192" s="4" t="s">
        <v>351</v>
      </c>
      <c r="D192" s="151">
        <f>D45</f>
        <v>1064553.0909090908</v>
      </c>
      <c r="E192" s="13" t="s">
        <v>584</v>
      </c>
      <c r="F192" s="22"/>
      <c r="H192" s="22"/>
      <c r="I192" s="8"/>
      <c r="J192" s="8"/>
      <c r="K192" s="8"/>
      <c r="L192" s="8"/>
      <c r="M192" s="8"/>
      <c r="N192" s="42">
        <v>3823</v>
      </c>
      <c r="O192" s="42">
        <v>2400</v>
      </c>
      <c r="P192" s="21" t="s">
        <v>352</v>
      </c>
      <c r="Q192" s="39" t="s">
        <v>353</v>
      </c>
      <c r="V192" s="36"/>
      <c r="X192" s="36"/>
      <c r="Z192" s="36"/>
    </row>
    <row r="193" spans="1:26" s="31" customFormat="1" ht="15.95" hidden="1" customHeight="1" thickBot="1" x14ac:dyDescent="0.2">
      <c r="A193" s="8"/>
      <c r="B193" s="20" t="s">
        <v>354</v>
      </c>
      <c r="C193" s="4" t="s">
        <v>351</v>
      </c>
      <c r="D193" s="8">
        <f>T193</f>
        <v>9.6505085589175899</v>
      </c>
      <c r="E193" s="13" t="s">
        <v>232</v>
      </c>
      <c r="F193" s="22"/>
      <c r="K193" s="8"/>
      <c r="L193" s="8"/>
      <c r="M193" s="8"/>
      <c r="N193" s="48">
        <f>23599/I189</f>
        <v>160.24026893680735</v>
      </c>
      <c r="O193" s="48">
        <f>23599/I189</f>
        <v>160.24026893680735</v>
      </c>
      <c r="P193" s="21" t="s">
        <v>355</v>
      </c>
      <c r="Q193" s="44">
        <f>I189</f>
        <v>147.27259356576931</v>
      </c>
      <c r="S193" s="89">
        <f>IF(Q193&lt;=Q190,1,IF(AND(Q193&gt;Q190,Q193&lt;R190),2,3))</f>
        <v>2</v>
      </c>
      <c r="T193" s="49">
        <f>VLOOKUP(S193, S189:T191, 2, FALSE)</f>
        <v>9.6505085589175899</v>
      </c>
      <c r="U193" s="50" t="str">
        <f>VLOOKUP(S193,S189:U191, 3, FALSE)</f>
        <v>S₁&lt;  S  &lt; S₂</v>
      </c>
      <c r="V193" s="36"/>
      <c r="X193" s="36"/>
      <c r="Z193" s="36"/>
    </row>
    <row r="194" spans="1:26" s="31" customFormat="1" ht="15.95" hidden="1" customHeight="1" x14ac:dyDescent="0.15">
      <c r="A194" s="8"/>
      <c r="C194" s="4" t="s">
        <v>351</v>
      </c>
      <c r="D194" s="13">
        <f>D193*6.894757</f>
        <v>66.537911440156961</v>
      </c>
      <c r="E194" s="13" t="s">
        <v>561</v>
      </c>
      <c r="F194" s="22"/>
      <c r="G194" s="22"/>
      <c r="H194" s="22"/>
      <c r="I194" s="8"/>
      <c r="J194" s="8"/>
      <c r="K194" s="8"/>
      <c r="L194" s="8"/>
      <c r="M194" s="8"/>
      <c r="V194" s="36"/>
      <c r="X194" s="36"/>
      <c r="Z194" s="36"/>
    </row>
    <row r="195" spans="1:26" s="31" customFormat="1" ht="15.95" hidden="1" customHeight="1" x14ac:dyDescent="0.15">
      <c r="A195" s="8"/>
      <c r="C195" s="4"/>
      <c r="D195" s="13"/>
      <c r="E195" s="13"/>
      <c r="F195" s="22"/>
      <c r="G195" s="22"/>
      <c r="H195" s="22"/>
      <c r="I195" s="8"/>
      <c r="J195" s="8"/>
      <c r="K195" s="8"/>
      <c r="L195" s="8"/>
      <c r="M195" s="8"/>
      <c r="V195" s="36"/>
      <c r="X195" s="36"/>
      <c r="Z195" s="36"/>
    </row>
    <row r="196" spans="1:26" s="31" customFormat="1" ht="15.95" hidden="1" customHeight="1" x14ac:dyDescent="0.15">
      <c r="A196" s="8"/>
      <c r="B196" s="33" t="s">
        <v>356</v>
      </c>
      <c r="C196" s="33"/>
      <c r="D196" s="131"/>
      <c r="E196" s="131"/>
      <c r="G196" s="34" t="s">
        <v>357</v>
      </c>
      <c r="H196" s="85"/>
      <c r="I196" s="22"/>
      <c r="J196" s="86"/>
      <c r="K196" s="8"/>
      <c r="L196" s="8"/>
      <c r="M196" s="8"/>
      <c r="N196" s="36" t="s">
        <v>358</v>
      </c>
      <c r="O196" s="443">
        <v>16</v>
      </c>
      <c r="P196" s="8"/>
      <c r="S196" s="8"/>
      <c r="V196" s="36"/>
      <c r="X196" s="36"/>
      <c r="Z196" s="36"/>
    </row>
    <row r="197" spans="1:26" s="31" customFormat="1" ht="15.95" hidden="1" customHeight="1" x14ac:dyDescent="0.15">
      <c r="A197" s="8"/>
      <c r="B197" s="33"/>
      <c r="C197" s="33"/>
      <c r="D197" s="131"/>
      <c r="E197" s="131"/>
      <c r="F197" s="33"/>
      <c r="G197" s="33"/>
      <c r="H197" s="33"/>
      <c r="I197" s="8"/>
      <c r="J197" s="33"/>
      <c r="K197" s="8"/>
      <c r="L197" s="8"/>
      <c r="M197" s="22" t="s">
        <v>359</v>
      </c>
      <c r="N197" s="87">
        <v>5</v>
      </c>
      <c r="O197" s="87">
        <v>6</v>
      </c>
      <c r="Q197" s="790" t="s">
        <v>360</v>
      </c>
      <c r="R197" s="791"/>
      <c r="S197" s="792" t="s">
        <v>400</v>
      </c>
      <c r="T197" s="793"/>
      <c r="U197" s="794"/>
      <c r="V197" s="36"/>
      <c r="X197" s="36"/>
      <c r="Z197" s="36"/>
    </row>
    <row r="198" spans="1:26" s="31" customFormat="1" ht="15.95" hidden="1" customHeight="1" x14ac:dyDescent="0.15">
      <c r="A198" s="8"/>
      <c r="B198" s="20" t="s">
        <v>361</v>
      </c>
      <c r="C198" s="4" t="s">
        <v>351</v>
      </c>
      <c r="D198" s="7">
        <f>R40</f>
        <v>56</v>
      </c>
      <c r="E198" s="13" t="s">
        <v>583</v>
      </c>
      <c r="F198" s="8"/>
      <c r="G198" s="20" t="str">
        <f>U202</f>
        <v>S₁&lt;  S  &lt; S₂</v>
      </c>
      <c r="K198" s="8"/>
      <c r="L198" s="8"/>
      <c r="M198" s="8"/>
      <c r="N198" s="37">
        <v>9.6999999999999993</v>
      </c>
      <c r="O198" s="37">
        <v>15.2</v>
      </c>
      <c r="P198" s="21" t="s">
        <v>342</v>
      </c>
      <c r="Q198" s="38" t="s">
        <v>343</v>
      </c>
      <c r="R198" s="39" t="s">
        <v>344</v>
      </c>
      <c r="S198" s="39">
        <v>1</v>
      </c>
      <c r="T198" s="40">
        <f>IF(O185=5, N198, O198)</f>
        <v>9.6999999999999993</v>
      </c>
      <c r="U198" s="39" t="str">
        <f>P198</f>
        <v>S  ≤  S₁</v>
      </c>
      <c r="V198" s="36"/>
      <c r="X198" s="36"/>
      <c r="Z198" s="36"/>
    </row>
    <row r="199" spans="1:26" s="31" customFormat="1" ht="15.95" hidden="1" customHeight="1" x14ac:dyDescent="0.15">
      <c r="A199" s="8"/>
      <c r="B199" s="20" t="s">
        <v>379</v>
      </c>
      <c r="C199" s="4" t="s">
        <v>362</v>
      </c>
      <c r="D199" s="7">
        <f>R42</f>
        <v>2</v>
      </c>
      <c r="E199" s="13" t="s">
        <v>583</v>
      </c>
      <c r="G199" s="8"/>
      <c r="H199" s="8"/>
      <c r="I199" s="8"/>
      <c r="J199" s="8"/>
      <c r="K199" s="8"/>
      <c r="L199" s="8"/>
      <c r="M199" s="8"/>
      <c r="N199" s="42">
        <v>25.6</v>
      </c>
      <c r="O199" s="42">
        <v>22.8</v>
      </c>
      <c r="P199" s="21" t="s">
        <v>380</v>
      </c>
      <c r="Q199" s="43">
        <f>IF(O185=5, N199,O199)</f>
        <v>25.6</v>
      </c>
      <c r="R199" s="44">
        <f>IF(O185=5,N201,O201)</f>
        <v>50</v>
      </c>
      <c r="S199" s="46">
        <v>2</v>
      </c>
      <c r="T199" s="45">
        <f>IF(O185=5, N200, O200)</f>
        <v>9.4760000000000009</v>
      </c>
      <c r="U199" s="46" t="str">
        <f>P200</f>
        <v>S₁&lt;  S  &lt; S₂</v>
      </c>
      <c r="V199" s="36"/>
      <c r="X199" s="36"/>
      <c r="Z199" s="36"/>
    </row>
    <row r="200" spans="1:26" s="31" customFormat="1" ht="15.95" hidden="1" customHeight="1" x14ac:dyDescent="0.15">
      <c r="A200" s="8"/>
      <c r="B200" s="20" t="s">
        <v>402</v>
      </c>
      <c r="C200" s="4" t="s">
        <v>362</v>
      </c>
      <c r="D200" s="7">
        <f>D198/D199</f>
        <v>28</v>
      </c>
      <c r="E200" s="13"/>
      <c r="F200" s="8"/>
      <c r="H200" s="8"/>
      <c r="I200" s="8"/>
      <c r="J200" s="8"/>
      <c r="K200" s="8"/>
      <c r="L200" s="8"/>
      <c r="M200" s="8"/>
      <c r="N200" s="42">
        <f>11.8-0.083*D200</f>
        <v>9.4760000000000009</v>
      </c>
      <c r="O200" s="42">
        <f>19-0.17*(D200)</f>
        <v>14.239999999999998</v>
      </c>
      <c r="P200" s="21" t="s">
        <v>363</v>
      </c>
      <c r="Q200" s="88" t="s">
        <v>364</v>
      </c>
      <c r="S200" s="44">
        <v>3</v>
      </c>
      <c r="T200" s="47">
        <f>IF(O185=5, N202, O202)</f>
        <v>13.642857142857142</v>
      </c>
      <c r="U200" s="44" t="str">
        <f>P202</f>
        <v>S  ≥  S₂</v>
      </c>
      <c r="V200" s="36"/>
      <c r="X200" s="36"/>
      <c r="Z200" s="36"/>
    </row>
    <row r="201" spans="1:26" s="31" customFormat="1" ht="15.95" hidden="1" customHeight="1" thickBot="1" x14ac:dyDescent="0.2">
      <c r="A201" s="8"/>
      <c r="B201" s="20" t="s">
        <v>365</v>
      </c>
      <c r="C201" s="4" t="s">
        <v>362</v>
      </c>
      <c r="D201" s="8">
        <f>T202</f>
        <v>9.4760000000000009</v>
      </c>
      <c r="E201" s="13" t="s">
        <v>232</v>
      </c>
      <c r="F201" s="8"/>
      <c r="G201" s="8"/>
      <c r="H201" s="8"/>
      <c r="I201" s="8"/>
      <c r="J201" s="8"/>
      <c r="K201" s="8"/>
      <c r="L201" s="8"/>
      <c r="M201" s="8"/>
      <c r="N201" s="42">
        <v>50</v>
      </c>
      <c r="O201" s="42">
        <v>39</v>
      </c>
      <c r="P201" s="21" t="s">
        <v>366</v>
      </c>
      <c r="Q201" s="39" t="s">
        <v>367</v>
      </c>
      <c r="V201" s="36"/>
      <c r="X201" s="36"/>
      <c r="Z201" s="36"/>
    </row>
    <row r="202" spans="1:26" s="31" customFormat="1" ht="15.95" hidden="1" customHeight="1" thickBot="1" x14ac:dyDescent="0.2">
      <c r="A202" s="8"/>
      <c r="B202" s="27"/>
      <c r="C202" s="4" t="s">
        <v>362</v>
      </c>
      <c r="D202" s="13">
        <f>D201*6.894757</f>
        <v>65.334717332000011</v>
      </c>
      <c r="E202" s="13" t="s">
        <v>561</v>
      </c>
      <c r="F202" s="8"/>
      <c r="G202" s="8"/>
      <c r="H202" s="8"/>
      <c r="I202" s="8"/>
      <c r="J202" s="8"/>
      <c r="K202" s="8"/>
      <c r="L202" s="8"/>
      <c r="M202" s="8"/>
      <c r="N202" s="48">
        <f>382/D200</f>
        <v>13.642857142857142</v>
      </c>
      <c r="O202" s="48">
        <f>484/D200</f>
        <v>17.285714285714285</v>
      </c>
      <c r="P202" s="21" t="s">
        <v>368</v>
      </c>
      <c r="Q202" s="44">
        <f>D200</f>
        <v>28</v>
      </c>
      <c r="S202" s="89">
        <f>IF(Q202&lt;=Q199,1,IF(AND(Q202&gt;Q199,Q202&lt;R199),2,3))</f>
        <v>2</v>
      </c>
      <c r="T202" s="49">
        <f>VLOOKUP(S202, S198:T200, 2, FALSE)</f>
        <v>9.4760000000000009</v>
      </c>
      <c r="U202" s="50" t="str">
        <f>VLOOKUP(S202,S198:U200, 3, FALSE)</f>
        <v>S₁&lt;  S  &lt; S₂</v>
      </c>
      <c r="V202" s="36"/>
      <c r="X202" s="36"/>
      <c r="Z202" s="36"/>
    </row>
    <row r="203" spans="1:26" s="31" customFormat="1" ht="15.95" hidden="1" customHeight="1" x14ac:dyDescent="0.15">
      <c r="A203" s="8"/>
      <c r="C203" s="4"/>
      <c r="D203" s="13"/>
      <c r="E203" s="13"/>
      <c r="F203" s="22"/>
      <c r="G203" s="22"/>
      <c r="H203" s="22"/>
      <c r="I203" s="8"/>
      <c r="J203" s="8"/>
      <c r="K203" s="8"/>
      <c r="L203" s="8"/>
      <c r="M203" s="8"/>
      <c r="V203" s="36"/>
      <c r="X203" s="36"/>
      <c r="Z203" s="36"/>
    </row>
    <row r="204" spans="1:26" s="31" customFormat="1" ht="15.95" hidden="1" customHeight="1" x14ac:dyDescent="0.15">
      <c r="A204" s="8"/>
      <c r="B204" s="33" t="s">
        <v>369</v>
      </c>
      <c r="C204" s="33"/>
      <c r="D204" s="131"/>
      <c r="E204" s="131"/>
      <c r="F204" s="33"/>
      <c r="G204" s="34" t="s">
        <v>370</v>
      </c>
      <c r="H204" s="85"/>
      <c r="I204" s="8"/>
      <c r="J204" s="33"/>
      <c r="K204" s="8"/>
      <c r="L204" s="8"/>
      <c r="M204" s="8"/>
      <c r="N204" s="36" t="s">
        <v>371</v>
      </c>
      <c r="O204" s="443">
        <v>18</v>
      </c>
      <c r="P204" s="8"/>
      <c r="S204" s="8"/>
      <c r="V204" s="36"/>
      <c r="X204" s="36"/>
      <c r="Z204" s="36"/>
    </row>
    <row r="205" spans="1:26" s="31" customFormat="1" ht="15.95" hidden="1" customHeight="1" x14ac:dyDescent="0.15">
      <c r="A205" s="8"/>
      <c r="B205" s="33"/>
      <c r="C205" s="33"/>
      <c r="D205" s="131"/>
      <c r="E205" s="131"/>
      <c r="F205" s="33"/>
      <c r="G205" s="33"/>
      <c r="H205" s="33"/>
      <c r="I205" s="8"/>
      <c r="J205" s="33"/>
      <c r="K205" s="8"/>
      <c r="L205" s="8"/>
      <c r="M205" s="22" t="s">
        <v>372</v>
      </c>
      <c r="N205" s="87">
        <v>5</v>
      </c>
      <c r="O205" s="87">
        <v>6</v>
      </c>
      <c r="Q205" s="790" t="s">
        <v>373</v>
      </c>
      <c r="R205" s="791"/>
      <c r="S205" s="792" t="s">
        <v>374</v>
      </c>
      <c r="T205" s="793"/>
      <c r="U205" s="794"/>
      <c r="V205" s="36"/>
      <c r="X205" s="36"/>
      <c r="Z205" s="36"/>
    </row>
    <row r="206" spans="1:26" s="31" customFormat="1" ht="15.95" hidden="1" customHeight="1" x14ac:dyDescent="0.15">
      <c r="A206" s="8"/>
      <c r="B206" s="20" t="s">
        <v>375</v>
      </c>
      <c r="C206" s="4" t="s">
        <v>362</v>
      </c>
      <c r="D206" s="7">
        <f>R41</f>
        <v>116</v>
      </c>
      <c r="E206" s="13" t="s">
        <v>583</v>
      </c>
      <c r="F206" s="8"/>
      <c r="G206" s="20" t="str">
        <f>U210</f>
        <v>S  ≤  S₁</v>
      </c>
      <c r="K206" s="8"/>
      <c r="L206" s="8"/>
      <c r="M206" s="8"/>
      <c r="N206" s="37">
        <v>12.6</v>
      </c>
      <c r="O206" s="37">
        <v>19.7</v>
      </c>
      <c r="P206" s="21" t="s">
        <v>376</v>
      </c>
      <c r="Q206" s="38" t="s">
        <v>377</v>
      </c>
      <c r="R206" s="39" t="s">
        <v>378</v>
      </c>
      <c r="S206" s="39">
        <v>1</v>
      </c>
      <c r="T206" s="40">
        <f>IF(O185=5, N206, O206)</f>
        <v>12.6</v>
      </c>
      <c r="U206" s="39" t="str">
        <f>P206</f>
        <v>S  ≤  S₁</v>
      </c>
      <c r="V206" s="36"/>
      <c r="X206" s="36"/>
      <c r="Z206" s="36"/>
    </row>
    <row r="207" spans="1:26" s="31" customFormat="1" ht="15.95" hidden="1" customHeight="1" x14ac:dyDescent="0.15">
      <c r="A207" s="8"/>
      <c r="B207" s="20" t="s">
        <v>379</v>
      </c>
      <c r="C207" s="4" t="s">
        <v>362</v>
      </c>
      <c r="D207" s="7">
        <f>R43</f>
        <v>2</v>
      </c>
      <c r="E207" s="13" t="s">
        <v>583</v>
      </c>
      <c r="F207" s="8"/>
      <c r="H207" s="8"/>
      <c r="I207" s="8"/>
      <c r="J207" s="8"/>
      <c r="K207" s="8"/>
      <c r="L207" s="8"/>
      <c r="M207" s="8"/>
      <c r="N207" s="42">
        <v>61</v>
      </c>
      <c r="O207" s="42">
        <v>54.9</v>
      </c>
      <c r="P207" s="21" t="s">
        <v>380</v>
      </c>
      <c r="Q207" s="43">
        <f>IF(O185=5, N207,O207)</f>
        <v>61</v>
      </c>
      <c r="R207" s="44">
        <f>IF(O185=5,N209,O209)</f>
        <v>115</v>
      </c>
      <c r="S207" s="46">
        <v>2</v>
      </c>
      <c r="T207" s="45">
        <f>IF(O185=5, N208, O208)</f>
        <v>12.808000000000002</v>
      </c>
      <c r="U207" s="46" t="str">
        <f>P208</f>
        <v>S₁&lt;  S  &lt; S₂</v>
      </c>
      <c r="V207" s="36"/>
      <c r="X207" s="36"/>
      <c r="Z207" s="36"/>
    </row>
    <row r="208" spans="1:26" s="31" customFormat="1" ht="15.95" hidden="1" customHeight="1" x14ac:dyDescent="0.15">
      <c r="A208" s="8"/>
      <c r="B208" s="20" t="s">
        <v>403</v>
      </c>
      <c r="C208" s="4" t="s">
        <v>362</v>
      </c>
      <c r="D208" s="7">
        <f>D206/D207</f>
        <v>58</v>
      </c>
      <c r="E208" s="13"/>
      <c r="F208" s="8"/>
      <c r="H208" s="8"/>
      <c r="I208" s="8"/>
      <c r="J208" s="8"/>
      <c r="K208" s="8"/>
      <c r="L208" s="8"/>
      <c r="M208" s="8"/>
      <c r="N208" s="42">
        <f>17.1-0.074*D208</f>
        <v>12.808000000000002</v>
      </c>
      <c r="O208" s="42">
        <f>27.9-0.15*(D208)</f>
        <v>19.2</v>
      </c>
      <c r="P208" s="21" t="s">
        <v>363</v>
      </c>
      <c r="Q208" s="88" t="s">
        <v>364</v>
      </c>
      <c r="S208" s="44">
        <v>3</v>
      </c>
      <c r="T208" s="47">
        <f>IF(O185=5, N210, O210)</f>
        <v>17</v>
      </c>
      <c r="U208" s="44" t="str">
        <f>P210</f>
        <v>S  ≥  S₂</v>
      </c>
      <c r="V208" s="36"/>
      <c r="X208" s="36"/>
      <c r="Z208" s="36"/>
    </row>
    <row r="209" spans="1:26" s="31" customFormat="1" ht="15.95" hidden="1" customHeight="1" thickBot="1" x14ac:dyDescent="0.2">
      <c r="A209" s="8"/>
      <c r="B209" s="20" t="s">
        <v>381</v>
      </c>
      <c r="C209" s="4" t="s">
        <v>362</v>
      </c>
      <c r="D209" s="8">
        <f>T210</f>
        <v>12.6</v>
      </c>
      <c r="E209" s="13" t="s">
        <v>232</v>
      </c>
      <c r="F209" s="8"/>
      <c r="G209" s="8"/>
      <c r="H209" s="8"/>
      <c r="I209" s="8"/>
      <c r="J209" s="8"/>
      <c r="K209" s="8"/>
      <c r="L209" s="8"/>
      <c r="M209" s="8"/>
      <c r="N209" s="42">
        <v>115</v>
      </c>
      <c r="O209" s="42">
        <v>93</v>
      </c>
      <c r="P209" s="21" t="s">
        <v>366</v>
      </c>
      <c r="Q209" s="39" t="s">
        <v>367</v>
      </c>
      <c r="V209" s="36"/>
      <c r="X209" s="36"/>
      <c r="Z209" s="36"/>
    </row>
    <row r="210" spans="1:26" s="31" customFormat="1" ht="15.95" hidden="1" customHeight="1" thickBot="1" x14ac:dyDescent="0.2">
      <c r="A210" s="8"/>
      <c r="B210" s="22"/>
      <c r="C210" s="4" t="s">
        <v>362</v>
      </c>
      <c r="D210" s="13">
        <f>D209*6.894757</f>
        <v>86.873938199999998</v>
      </c>
      <c r="E210" s="13" t="s">
        <v>561</v>
      </c>
      <c r="F210" s="8"/>
      <c r="G210" s="8"/>
      <c r="H210" s="8"/>
      <c r="I210" s="8"/>
      <c r="J210" s="8"/>
      <c r="K210" s="8"/>
      <c r="L210" s="8"/>
      <c r="M210" s="8"/>
      <c r="N210" s="48">
        <f>986/D208</f>
        <v>17</v>
      </c>
      <c r="O210" s="48">
        <f>1298/D208</f>
        <v>22.379310344827587</v>
      </c>
      <c r="P210" s="21" t="s">
        <v>368</v>
      </c>
      <c r="Q210" s="44">
        <f>D208</f>
        <v>58</v>
      </c>
      <c r="S210" s="89">
        <f>IF(Q210&lt;=Q207,1,IF(AND(Q210&gt;Q207,Q210&lt;=R207),2,3))</f>
        <v>1</v>
      </c>
      <c r="T210" s="49">
        <f>VLOOKUP(S210, S206:T208, 2, FALSE)</f>
        <v>12.6</v>
      </c>
      <c r="U210" s="50" t="str">
        <f>VLOOKUP(S210,S206:U208, 3, FALSE)</f>
        <v>S  ≤  S₁</v>
      </c>
      <c r="V210" s="36"/>
      <c r="X210" s="36"/>
      <c r="Z210" s="36"/>
    </row>
    <row r="211" spans="1:26" s="31" customFormat="1" ht="15.95" hidden="1" customHeight="1" x14ac:dyDescent="0.15">
      <c r="A211" s="8"/>
      <c r="B211" s="8"/>
      <c r="C211" s="8"/>
      <c r="D211" s="13"/>
      <c r="E211" s="13"/>
      <c r="F211" s="8"/>
      <c r="G211" s="8"/>
      <c r="H211" s="8"/>
      <c r="I211" s="8"/>
      <c r="J211" s="8"/>
      <c r="K211" s="8"/>
      <c r="L211" s="8"/>
      <c r="M211" s="8"/>
      <c r="N211" s="21"/>
      <c r="V211" s="36"/>
      <c r="X211" s="36"/>
      <c r="Z211" s="36"/>
    </row>
    <row r="212" spans="1:26" s="31" customFormat="1" ht="15.95" hidden="1" customHeight="1" x14ac:dyDescent="0.15">
      <c r="A212" s="8"/>
      <c r="B212" s="19" t="s">
        <v>382</v>
      </c>
      <c r="C212" s="8"/>
      <c r="D212" s="13"/>
      <c r="E212" s="3" t="s">
        <v>383</v>
      </c>
      <c r="F212" s="8" t="s">
        <v>384</v>
      </c>
      <c r="G212" s="8"/>
      <c r="H212" s="8"/>
      <c r="I212" s="8"/>
      <c r="J212" s="8"/>
      <c r="K212" s="8"/>
      <c r="L212" s="8"/>
      <c r="M212" s="8"/>
      <c r="N212" s="21"/>
      <c r="V212" s="36"/>
      <c r="X212" s="36"/>
      <c r="Z212" s="36"/>
    </row>
    <row r="213" spans="1:26" s="31" customFormat="1" ht="15.95" hidden="1" customHeight="1" x14ac:dyDescent="0.15">
      <c r="A213" s="8"/>
      <c r="B213" s="19"/>
      <c r="C213" s="8"/>
      <c r="D213" s="13"/>
      <c r="E213" s="13"/>
      <c r="F213" s="8"/>
      <c r="G213" s="8"/>
      <c r="H213" s="8"/>
      <c r="I213" s="8"/>
      <c r="J213" s="8"/>
      <c r="K213" s="8"/>
      <c r="L213" s="8"/>
      <c r="M213" s="8"/>
      <c r="N213" s="21"/>
      <c r="V213" s="36"/>
      <c r="X213" s="36"/>
      <c r="Z213" s="36"/>
    </row>
    <row r="214" spans="1:26" s="31" customFormat="1" ht="15.95" hidden="1" customHeight="1" x14ac:dyDescent="0.15">
      <c r="A214" s="8"/>
      <c r="B214" s="20" t="s">
        <v>385</v>
      </c>
      <c r="C214" s="4" t="s">
        <v>362</v>
      </c>
      <c r="D214" s="783" t="s">
        <v>625</v>
      </c>
      <c r="E214" s="783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V214" s="36"/>
      <c r="X214" s="36"/>
      <c r="Z214" s="36"/>
    </row>
    <row r="215" spans="1:26" s="31" customFormat="1" ht="15.95" hidden="1" customHeight="1" x14ac:dyDescent="0.15">
      <c r="A215" s="8"/>
      <c r="B215" s="22"/>
      <c r="C215" s="4" t="s">
        <v>362</v>
      </c>
      <c r="D215" s="7">
        <f>0.85*D14/D44</f>
        <v>0</v>
      </c>
      <c r="E215" s="13" t="s">
        <v>561</v>
      </c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V215" s="36"/>
      <c r="X215" s="36"/>
      <c r="Z215" s="36"/>
    </row>
    <row r="216" spans="1:26" s="31" customFormat="1" ht="15.95" hidden="1" customHeight="1" x14ac:dyDescent="0.15">
      <c r="A216" s="8"/>
      <c r="B216" s="20" t="s">
        <v>386</v>
      </c>
      <c r="C216" s="4" t="s">
        <v>362</v>
      </c>
      <c r="D216" s="6" t="s">
        <v>387</v>
      </c>
      <c r="E216" s="132"/>
      <c r="F216" s="20"/>
      <c r="H216" s="8"/>
      <c r="I216" s="8"/>
      <c r="J216" s="8"/>
      <c r="K216" s="8"/>
      <c r="L216" s="8"/>
      <c r="M216" s="8"/>
      <c r="N216" s="8"/>
      <c r="O216" s="8"/>
      <c r="P216" s="8"/>
      <c r="V216" s="36"/>
      <c r="X216" s="36"/>
      <c r="Z216" s="36"/>
    </row>
    <row r="217" spans="1:26" s="31" customFormat="1" ht="15.95" hidden="1" customHeight="1" x14ac:dyDescent="0.15">
      <c r="A217" s="8"/>
      <c r="B217" s="27"/>
      <c r="C217" s="4" t="s">
        <v>362</v>
      </c>
      <c r="D217" s="51">
        <f>MIN(D194,D202,D210)</f>
        <v>65.334717332000011</v>
      </c>
      <c r="E217" s="13" t="s">
        <v>561</v>
      </c>
      <c r="F217" s="8"/>
      <c r="G217" s="22"/>
      <c r="H217" s="27"/>
      <c r="I217" s="22"/>
      <c r="J217" s="8"/>
      <c r="K217" s="8"/>
      <c r="L217" s="8"/>
      <c r="M217" s="8"/>
      <c r="N217" s="8"/>
      <c r="O217" s="8"/>
      <c r="P217" s="8"/>
      <c r="V217" s="36"/>
      <c r="X217" s="36"/>
      <c r="Z217" s="36"/>
    </row>
    <row r="218" spans="1:26" s="31" customFormat="1" ht="15.95" hidden="1" customHeight="1" x14ac:dyDescent="0.15">
      <c r="A218" s="8"/>
      <c r="C218" s="4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V218" s="36"/>
      <c r="X218" s="36"/>
      <c r="Z218" s="36"/>
    </row>
    <row r="219" spans="1:26" ht="15.95" hidden="1" customHeight="1" x14ac:dyDescent="0.15"/>
    <row r="220" spans="1:26" ht="15.95" hidden="1" customHeight="1" x14ac:dyDescent="0.15">
      <c r="B220" s="19" t="s">
        <v>388</v>
      </c>
    </row>
    <row r="221" spans="1:26" ht="15.95" hidden="1" customHeight="1" x14ac:dyDescent="0.15"/>
    <row r="222" spans="1:26" ht="15.95" hidden="1" customHeight="1" x14ac:dyDescent="0.15">
      <c r="B222" s="20" t="s">
        <v>404</v>
      </c>
      <c r="C222" s="4" t="s">
        <v>362</v>
      </c>
      <c r="D222" s="22">
        <f>D215/D217</f>
        <v>0</v>
      </c>
      <c r="E222" s="23" t="str">
        <f>IF(D222&gt;F222,"&gt;","&lt;")</f>
        <v>&lt;</v>
      </c>
      <c r="F222" s="3">
        <v>1</v>
      </c>
      <c r="G222" s="91" t="str">
        <f>IF(D222&lt;F222,"O.K.","N.G.")</f>
        <v>O.K.</v>
      </c>
    </row>
    <row r="223" spans="1:26" ht="15.95" hidden="1" customHeight="1" x14ac:dyDescent="0.15">
      <c r="B223" s="52"/>
      <c r="D223" s="27"/>
    </row>
    <row r="224" spans="1:26" ht="15.95" hidden="1" customHeight="1" x14ac:dyDescent="0.15">
      <c r="A224" s="27"/>
      <c r="B224" s="27"/>
      <c r="C224" s="27"/>
      <c r="D224" s="27"/>
      <c r="E224" s="27"/>
      <c r="F224" s="33"/>
      <c r="G224" s="27"/>
      <c r="H224" s="27"/>
      <c r="I224" s="27"/>
      <c r="J224" s="27"/>
      <c r="K224" s="27"/>
      <c r="L224" s="27"/>
      <c r="M224" s="27"/>
      <c r="N224" s="4"/>
    </row>
    <row r="225" spans="1:14" ht="15.95" hidden="1" customHeight="1" x14ac:dyDescent="0.1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4"/>
    </row>
    <row r="226" spans="1:14" ht="15.95" hidden="1" customHeight="1" x14ac:dyDescent="0.1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4"/>
    </row>
    <row r="227" spans="1:14" ht="15.95" hidden="1" customHeight="1" x14ac:dyDescent="0.15">
      <c r="B227" s="33"/>
      <c r="D227" s="27"/>
    </row>
    <row r="228" spans="1:14" ht="15.95" hidden="1" customHeight="1" x14ac:dyDescent="0.15">
      <c r="B228" s="33"/>
      <c r="D228" s="27"/>
    </row>
    <row r="229" spans="1:14" ht="15.95" hidden="1" customHeight="1" x14ac:dyDescent="0.15">
      <c r="B229" s="33"/>
      <c r="D229" s="27"/>
    </row>
    <row r="230" spans="1:14" ht="15.95" hidden="1" customHeight="1" x14ac:dyDescent="0.15">
      <c r="B230" s="33"/>
      <c r="D230" s="27"/>
    </row>
    <row r="231" spans="1:14" ht="15.95" hidden="1" customHeight="1" x14ac:dyDescent="0.15">
      <c r="B231" s="24" t="s">
        <v>190</v>
      </c>
    </row>
    <row r="232" spans="1:14" ht="15.95" hidden="1" customHeight="1" x14ac:dyDescent="0.15"/>
    <row r="233" spans="1:14" ht="15.95" hidden="1" customHeight="1" x14ac:dyDescent="0.15">
      <c r="B233" s="19" t="s">
        <v>192</v>
      </c>
    </row>
    <row r="234" spans="1:14" ht="15.95" hidden="1" customHeight="1" x14ac:dyDescent="0.15">
      <c r="B234" s="19"/>
    </row>
    <row r="235" spans="1:14" ht="15.95" hidden="1" customHeight="1" x14ac:dyDescent="0.15">
      <c r="B235" s="62" t="s">
        <v>165</v>
      </c>
      <c r="C235" s="4" t="s">
        <v>4</v>
      </c>
      <c r="D235" s="8">
        <f>D16</f>
        <v>0</v>
      </c>
      <c r="E235" s="13" t="s">
        <v>583</v>
      </c>
    </row>
    <row r="236" spans="1:14" ht="15.95" hidden="1" customHeight="1" x14ac:dyDescent="0.15"/>
    <row r="237" spans="1:14" ht="15.95" hidden="1" customHeight="1" x14ac:dyDescent="0.15"/>
    <row r="238" spans="1:14" ht="15.95" hidden="1" customHeight="1" x14ac:dyDescent="0.15">
      <c r="B238" s="19" t="s">
        <v>191</v>
      </c>
      <c r="E238" s="26" t="s">
        <v>195</v>
      </c>
    </row>
    <row r="239" spans="1:14" ht="15.95" hidden="1" customHeight="1" x14ac:dyDescent="0.15">
      <c r="B239" s="19"/>
    </row>
    <row r="240" spans="1:14" ht="15.95" hidden="1" customHeight="1" x14ac:dyDescent="0.15">
      <c r="B240" s="62" t="s">
        <v>194</v>
      </c>
      <c r="C240" s="4" t="s">
        <v>4</v>
      </c>
      <c r="D240" s="142">
        <f>D9</f>
        <v>5000</v>
      </c>
      <c r="E240" s="8" t="str">
        <f>IF(D240&gt;4110,"mm      &gt;     4110 mm","mm     ≤     4110 mm")</f>
        <v>mm      &gt;     4110 mm</v>
      </c>
      <c r="M240" s="27" t="s">
        <v>196</v>
      </c>
      <c r="N240" s="25">
        <f>D240/240+6.35</f>
        <v>27.18333333333333</v>
      </c>
    </row>
    <row r="241" spans="1:26" ht="15.95" hidden="1" customHeight="1" x14ac:dyDescent="0.15">
      <c r="B241" s="62" t="s">
        <v>193</v>
      </c>
      <c r="C241" s="4" t="s">
        <v>4</v>
      </c>
      <c r="D241" s="152">
        <f>D240</f>
        <v>5000</v>
      </c>
      <c r="E241" s="19" t="str">
        <f>IF(D240&lt;4110,"mm      /     175","mm      /      240 + 6.35 mm ")</f>
        <v xml:space="preserve">mm      /      240 + 6.35 mm </v>
      </c>
      <c r="M241" s="27" t="s">
        <v>197</v>
      </c>
      <c r="N241" s="25">
        <f>D240/175</f>
        <v>28.571428571428573</v>
      </c>
    </row>
    <row r="242" spans="1:26" ht="15.95" hidden="1" customHeight="1" x14ac:dyDescent="0.15">
      <c r="B242" s="22"/>
      <c r="C242" s="4" t="s">
        <v>4</v>
      </c>
      <c r="D242" s="22">
        <f>IF(D240&gt;4110,N240,N241)</f>
        <v>27.18333333333333</v>
      </c>
      <c r="E242" s="8" t="s">
        <v>572</v>
      </c>
    </row>
    <row r="243" spans="1:26" ht="15.95" hidden="1" customHeight="1" x14ac:dyDescent="0.15"/>
    <row r="244" spans="1:26" ht="15.95" hidden="1" customHeight="1" x14ac:dyDescent="0.15"/>
    <row r="245" spans="1:26" ht="15.95" hidden="1" customHeight="1" x14ac:dyDescent="0.15">
      <c r="B245" s="19" t="s">
        <v>198</v>
      </c>
    </row>
    <row r="246" spans="1:26" s="4" customFormat="1" ht="15.95" hidden="1" customHeight="1" x14ac:dyDescent="0.15">
      <c r="A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O246" s="8"/>
      <c r="P246" s="8"/>
      <c r="Q246" s="8"/>
      <c r="R246" s="8"/>
      <c r="S246" s="8"/>
      <c r="T246" s="8"/>
      <c r="U246" s="8"/>
      <c r="V246" s="22"/>
      <c r="X246" s="22"/>
      <c r="Z246" s="22"/>
    </row>
    <row r="247" spans="1:26" s="4" customFormat="1" ht="15.95" hidden="1" customHeight="1" x14ac:dyDescent="0.15">
      <c r="A247" s="8"/>
      <c r="B247" s="20" t="s">
        <v>405</v>
      </c>
      <c r="C247" s="4" t="s">
        <v>181</v>
      </c>
      <c r="D247" s="22">
        <f>D235/(D242)</f>
        <v>0</v>
      </c>
      <c r="E247" s="23" t="str">
        <f>IF(D247&gt;F247,"&gt;","&lt;")</f>
        <v>&lt;</v>
      </c>
      <c r="F247" s="3">
        <v>1</v>
      </c>
      <c r="G247" s="91" t="str">
        <f>IF(D247&lt;F247,"O.K.","N.G.")</f>
        <v>O.K.</v>
      </c>
      <c r="I247" s="27"/>
      <c r="J247" s="27"/>
      <c r="K247" s="27"/>
      <c r="L247" s="27"/>
      <c r="M247" s="27"/>
      <c r="O247" s="8"/>
      <c r="P247" s="8"/>
      <c r="Q247" s="8"/>
      <c r="R247" s="8"/>
      <c r="S247" s="8"/>
      <c r="T247" s="8"/>
      <c r="U247" s="8"/>
      <c r="V247" s="22"/>
      <c r="X247" s="22"/>
      <c r="Z247" s="22"/>
    </row>
    <row r="248" spans="1:26" ht="15.95" hidden="1" customHeight="1" x14ac:dyDescent="0.15"/>
    <row r="249" spans="1:26" ht="15.95" hidden="1" customHeight="1" x14ac:dyDescent="0.15"/>
  </sheetData>
  <sheetProtection algorithmName="SHA-512" hashValue="hCKExHJDl3aumeINEHwubCjs4GGSiDAZAU4seiwkzxux4QLvO+97p/wsqPtl+fHbfgG0rR5QkhzkWYAP0gg63w==" saltValue="8IJgXRq+Xsi/A7RVPhq/dA==" spinCount="100000" sheet="1" objects="1" scenarios="1" selectLockedCells="1"/>
  <protectedRanges>
    <protectedRange sqref="D7:D10 D12" name="범위1_2"/>
  </protectedRanges>
  <mergeCells count="12">
    <mergeCell ref="M6:N6"/>
    <mergeCell ref="Q205:R205"/>
    <mergeCell ref="S205:U205"/>
    <mergeCell ref="D214:E214"/>
    <mergeCell ref="G22:K45"/>
    <mergeCell ref="Q188:R188"/>
    <mergeCell ref="S188:U188"/>
    <mergeCell ref="Q197:R197"/>
    <mergeCell ref="S197:U197"/>
    <mergeCell ref="N13:N14"/>
    <mergeCell ref="O13:O14"/>
    <mergeCell ref="B46:K46"/>
  </mergeCells>
  <phoneticPr fontId="1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18</vt:i4>
      </vt:variant>
      <vt:variant>
        <vt:lpstr>이름 지정된 범위</vt:lpstr>
      </vt:variant>
      <vt:variant>
        <vt:i4>16</vt:i4>
      </vt:variant>
    </vt:vector>
  </HeadingPairs>
  <TitlesOfParts>
    <vt:vector size="34" baseType="lpstr">
      <vt:lpstr>20m↑</vt:lpstr>
      <vt:lpstr>20m↓</vt:lpstr>
      <vt:lpstr>WIND LOAD</vt:lpstr>
      <vt:lpstr>ALUM. MULLION→</vt:lpstr>
      <vt:lpstr>단순보</vt:lpstr>
      <vt:lpstr>단순보-보강</vt:lpstr>
      <vt:lpstr>KICKER</vt:lpstr>
      <vt:lpstr>KICKER-보강</vt:lpstr>
      <vt:lpstr>연속보,E.J</vt:lpstr>
      <vt:lpstr>연속보,E.J-보강</vt:lpstr>
      <vt:lpstr>ALUM. TRANSOM</vt:lpstr>
      <vt:lpstr>ST'L MULLION→</vt:lpstr>
      <vt:lpstr>단순보(BOX)</vt:lpstr>
      <vt:lpstr>KICKER(BOX)</vt:lpstr>
      <vt:lpstr>단순보(T-BAR)</vt:lpstr>
      <vt:lpstr>KICKER(T-BAR)</vt:lpstr>
      <vt:lpstr>ST'L TRANSOM</vt:lpstr>
      <vt:lpstr>ANCHOR</vt:lpstr>
      <vt:lpstr>'20m↑'!Print_Area</vt:lpstr>
      <vt:lpstr>'20m↓'!Print_Area</vt:lpstr>
      <vt:lpstr>'ALUM. TRANSOM'!Print_Area</vt:lpstr>
      <vt:lpstr>ANCHOR!Print_Area</vt:lpstr>
      <vt:lpstr>KICKER!Print_Area</vt:lpstr>
      <vt:lpstr>'KICKER(BOX)'!Print_Area</vt:lpstr>
      <vt:lpstr>'KICKER(T-BAR)'!Print_Area</vt:lpstr>
      <vt:lpstr>'KICKER-보강'!Print_Area</vt:lpstr>
      <vt:lpstr>'ST''L TRANSOM'!Print_Area</vt:lpstr>
      <vt:lpstr>'WIND LOAD'!Print_Area</vt:lpstr>
      <vt:lpstr>단순보!Print_Area</vt:lpstr>
      <vt:lpstr>'단순보(BOX)'!Print_Area</vt:lpstr>
      <vt:lpstr>'단순보(T-BAR)'!Print_Area</vt:lpstr>
      <vt:lpstr>'단순보-보강'!Print_Area</vt:lpstr>
      <vt:lpstr>'연속보,E.J'!Print_Area</vt:lpstr>
      <vt:lpstr>'연속보,E.J-보강'!Print_Area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김윤태</dc:creator>
  <cp:lastModifiedBy>국환</cp:lastModifiedBy>
  <cp:lastPrinted>2022-08-02T00:32:29Z</cp:lastPrinted>
  <dcterms:created xsi:type="dcterms:W3CDTF">1999-05-20T17:05:23Z</dcterms:created>
  <dcterms:modified xsi:type="dcterms:W3CDTF">2022-09-14T01:30:32Z</dcterms:modified>
</cp:coreProperties>
</file>